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HeinrichW\Desktop\Hein\Tax Loss Products\AOS\"/>
    </mc:Choice>
  </mc:AlternateContent>
  <xr:revisionPtr revIDLastSave="0" documentId="13_ncr:1_{D21479EF-228F-40CD-85F3-4B7AF5EAF7E0}" xr6:coauthVersionLast="47" xr6:coauthVersionMax="47" xr10:uidLastSave="{00000000-0000-0000-0000-000000000000}"/>
  <workbookProtection workbookAlgorithmName="SHA-512" workbookHashValue="/FPoZjABO7vy0+Y1KwwqFiLRKS45eCFjMjemKWSJGCeRb7ZohGAQGNEsP3kxs9kHw8NSlVD8d6+t/1Z2sJwCCg==" workbookSaltValue="cmODCq9tRCJwM2LJKrwj9Q==" workbookSpinCount="100000" lockStructure="1"/>
  <bookViews>
    <workbookView xWindow="8475" yWindow="-16320" windowWidth="29040" windowHeight="15840" xr2:uid="{C126D68B-947F-4EFB-9342-5749AD0720FB}"/>
  </bookViews>
  <sheets>
    <sheet name="Inputs" sheetId="1" r:id="rId1"/>
    <sheet name="Quote" sheetId="3" r:id="rId2"/>
  </sheets>
  <definedNames>
    <definedName name="_xlnm.Print_Area" localSheetId="1">Quote!$A$1:$F$107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D72" i="1"/>
  <c r="D89" i="1"/>
  <c r="D88" i="1"/>
  <c r="D78" i="1"/>
  <c r="C50" i="3"/>
  <c r="C49" i="3"/>
  <c r="C47" i="1"/>
  <c r="C34" i="1" l="1"/>
  <c r="B78" i="1"/>
  <c r="C79" i="1"/>
  <c r="B75" i="1"/>
  <c r="B105" i="1" l="1"/>
  <c r="C105" i="1" s="1"/>
  <c r="C75" i="1"/>
  <c r="D75" i="1" s="1"/>
  <c r="D85" i="1" s="1"/>
  <c r="B89" i="1" l="1"/>
  <c r="C89" i="1"/>
  <c r="D33" i="3" l="1"/>
  <c r="D38" i="3"/>
  <c r="C48" i="3" s="1"/>
  <c r="B68" i="1" l="1"/>
  <c r="B81" i="1" l="1"/>
  <c r="C81" i="1" s="1"/>
  <c r="C87" i="1" s="1"/>
  <c r="D81" i="1"/>
  <c r="B50" i="1"/>
  <c r="C50" i="1"/>
  <c r="D50" i="1"/>
  <c r="D52" i="1" s="1"/>
  <c r="D55" i="1" s="1"/>
  <c r="B87" i="1"/>
  <c r="D23" i="3"/>
  <c r="D24" i="3"/>
  <c r="D25" i="3"/>
  <c r="D22" i="3"/>
  <c r="D87" i="1" l="1"/>
  <c r="D91" i="1"/>
  <c r="D92" i="1" s="1"/>
  <c r="D93" i="1" s="1"/>
  <c r="D94" i="1" s="1"/>
  <c r="C52" i="1"/>
  <c r="C55" i="1" s="1"/>
  <c r="B52" i="1"/>
  <c r="B55" i="1" s="1"/>
  <c r="A19" i="3"/>
  <c r="C29" i="1" l="1"/>
  <c r="C30" i="1" s="1"/>
  <c r="B70" i="1" l="1"/>
  <c r="D29" i="3"/>
  <c r="D21" i="3" l="1"/>
  <c r="D39" i="3" l="1"/>
  <c r="B71" i="1"/>
  <c r="D30" i="3"/>
  <c r="C72" i="1" l="1"/>
  <c r="C85" i="1" l="1"/>
  <c r="B85" i="1" l="1"/>
  <c r="D40" i="3"/>
  <c r="B88" i="1"/>
  <c r="C78" i="1" l="1"/>
  <c r="C88" i="1" s="1"/>
  <c r="C92" i="1" s="1"/>
  <c r="B91" i="1"/>
  <c r="B92" i="1" l="1"/>
  <c r="B93" i="1" s="1"/>
  <c r="B94" i="1" s="1"/>
  <c r="B106" i="1"/>
  <c r="B107" i="1" s="1"/>
  <c r="C93" i="1"/>
  <c r="C94" i="1" s="1"/>
  <c r="C107" i="1"/>
  <c r="C37" i="1" l="1"/>
  <c r="C47" i="3"/>
  <c r="D47" i="3" s="1"/>
  <c r="E47" i="3" s="1"/>
  <c r="B108" i="1"/>
  <c r="B109" i="1" s="1"/>
  <c r="B110" i="1" s="1"/>
  <c r="B111" i="1" l="1"/>
  <c r="C36" i="1"/>
  <c r="C46" i="1" s="1"/>
  <c r="D34" i="3"/>
  <c r="D35" i="3" s="1"/>
  <c r="D53" i="1" l="1"/>
  <c r="D56" i="1" s="1"/>
  <c r="D60" i="1" s="1"/>
  <c r="C53" i="1"/>
  <c r="C56" i="1" s="1"/>
  <c r="C60" i="1" s="1"/>
  <c r="B53" i="1"/>
  <c r="B56" i="1" s="1"/>
  <c r="B60" i="1" s="1"/>
  <c r="C108" i="1" s="1"/>
  <c r="C54" i="1" l="1"/>
  <c r="C58" i="1" s="1"/>
  <c r="C59" i="1" s="1"/>
  <c r="C111" i="1"/>
  <c r="D54" i="1"/>
  <c r="B54" i="1"/>
  <c r="B57" i="1" s="1"/>
  <c r="C57" i="1" l="1"/>
  <c r="C61" i="1" s="1"/>
  <c r="C63" i="1" s="1"/>
  <c r="D58" i="1"/>
  <c r="D59" i="1" s="1"/>
  <c r="D57" i="1"/>
  <c r="D61" i="1" s="1"/>
  <c r="B58" i="1"/>
  <c r="B61" i="1"/>
  <c r="C62" i="1" l="1"/>
  <c r="C64" i="1" s="1"/>
  <c r="D63" i="1"/>
  <c r="D62" i="1"/>
  <c r="D52" i="3"/>
  <c r="D64" i="1" l="1"/>
  <c r="E52" i="3"/>
  <c r="B59" i="1"/>
  <c r="B63" i="1" l="1"/>
  <c r="B62" i="1"/>
  <c r="B64" i="1" l="1"/>
  <c r="C5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Heinrich Wessels</author>
  </authors>
  <commentList>
    <comment ref="B66" authorId="0" shapeId="0" xr:uid="{8D330E05-8046-459E-97A5-6FFD01E20019}">
      <text>
        <r>
          <rPr>
            <sz val="9"/>
            <color indexed="81"/>
            <rFont val="Tahoma"/>
            <family val="2"/>
          </rPr>
          <t>Gross of expenses rate received from BNP</t>
        </r>
      </text>
    </comment>
  </commentList>
</comments>
</file>

<file path=xl/sharedStrings.xml><?xml version="1.0" encoding="utf-8"?>
<sst xmlns="http://schemas.openxmlformats.org/spreadsheetml/2006/main" count="148" uniqueCount="135">
  <si>
    <t>Inputs</t>
  </si>
  <si>
    <t xml:space="preserve">Financial Advisor </t>
  </si>
  <si>
    <t>Policyholder ID</t>
  </si>
  <si>
    <t>Policyholder Name</t>
  </si>
  <si>
    <t xml:space="preserve">Policyholder Surname </t>
  </si>
  <si>
    <t>Single Premium Investment Amount</t>
  </si>
  <si>
    <t>Commission percentage (once-off – excluding VAT) (maximum = 3%)</t>
  </si>
  <si>
    <t>To hide…</t>
  </si>
  <si>
    <t>Sales period from</t>
  </si>
  <si>
    <t>Sales period to</t>
  </si>
  <si>
    <t>Start date</t>
  </si>
  <si>
    <t>Maturity Date</t>
  </si>
  <si>
    <t>Minimum investment</t>
  </si>
  <si>
    <t>Maximum investment</t>
  </si>
  <si>
    <t>Allocation charges</t>
  </si>
  <si>
    <t>Guaranteed maturity value</t>
  </si>
  <si>
    <t xml:space="preserve">Guaranteed annual investment rate (Effective) </t>
  </si>
  <si>
    <t>Surrender penalties:</t>
  </si>
  <si>
    <t>year1</t>
  </si>
  <si>
    <t>applies at end of year1 only</t>
  </si>
  <si>
    <t>year2</t>
  </si>
  <si>
    <t>year3</t>
  </si>
  <si>
    <t>year4</t>
  </si>
  <si>
    <t>year5</t>
  </si>
  <si>
    <t>Returns used for client's unit account</t>
  </si>
  <si>
    <t>EAC:</t>
  </si>
  <si>
    <t>Gross of deduction for tax</t>
  </si>
  <si>
    <t>Year1 net of deduction for tax</t>
  </si>
  <si>
    <t>Year1 surrender value</t>
  </si>
  <si>
    <t>Return gross of deduction for tax</t>
  </si>
  <si>
    <t>Return net of deduction for tax</t>
  </si>
  <si>
    <t>Return surrender value</t>
  </si>
  <si>
    <t>Net client return</t>
  </si>
  <si>
    <t>RIY</t>
  </si>
  <si>
    <t>IMC</t>
  </si>
  <si>
    <t>Other</t>
  </si>
  <si>
    <t>Admin</t>
  </si>
  <si>
    <t>Advice</t>
  </si>
  <si>
    <t>check</t>
  </si>
  <si>
    <t>This quotation is based solely on the information provided by you and is therefore an illustrative and not a binding projection or offer. The information contained in this quotation is subject to change, based upon the verification and further consideration of a more comprehensive risk assessment conducted by your financial advisor.</t>
  </si>
  <si>
    <t>Investment Term</t>
  </si>
  <si>
    <t>5 years</t>
  </si>
  <si>
    <t>Investment Date</t>
  </si>
  <si>
    <t xml:space="preserve"> </t>
  </si>
  <si>
    <t>Charges (if applicable)</t>
  </si>
  <si>
    <t>1 Year</t>
  </si>
  <si>
    <t>3 Year</t>
  </si>
  <si>
    <t>5 Year</t>
  </si>
  <si>
    <t>Effective Cost</t>
  </si>
  <si>
    <t>initial:</t>
  </si>
  <si>
    <t>Single premiums must be paid to the Administrator before the policy starts. This policy will not be valid and in-force for rates specified in this quotation, unless the deposit turnaround times specified by the Administrator are met and all application requirements completed.</t>
  </si>
  <si>
    <t>The Administrator may amend the rate due to market movements, in such an instance, they will provide you with a new quote for your consideration. If the policy is not concluded, they will refund your principal capital excluding any investment facilitation fees incurred. You may opt to enter into a new policy agreement at the rate applicable at that time.</t>
  </si>
  <si>
    <t>Will the policy you apply for replace the whole or a part of existing investment or risk policy, with any insurer that you have ended in the past four months, or will end in the next four months? If you answered yes: Your intermediary discussed with you, and completed in your presence, a document called a Replacement Policy Advice Record, and you are fully aware that the replacement in this case could be to your disadvantage.</t>
  </si>
  <si>
    <t>Pricing Model</t>
  </si>
  <si>
    <t>Advice Fee</t>
  </si>
  <si>
    <t>(Before VAT)</t>
  </si>
  <si>
    <t>STEP 1: CALCULATION OF EFFECTIVE PERIOD NUMBER FOR 5 YEARS</t>
  </si>
  <si>
    <t>Enter Value Date</t>
  </si>
  <si>
    <t>5 year maturity Date</t>
  </si>
  <si>
    <t>Year Count</t>
  </si>
  <si>
    <t>STEP 2: RECORD THE GROSS SIMPLE RATE</t>
  </si>
  <si>
    <t>SIMPLE NET DEPOSIT RATE</t>
  </si>
  <si>
    <t>STEP 3: CHECK UP FRONT POLICY FEES AND CHARGES</t>
  </si>
  <si>
    <t>Product (No VAT) and Administration Fee (Including VAT)</t>
  </si>
  <si>
    <t>Simple Tax Charge - on total interest earned</t>
  </si>
  <si>
    <t>Financial Advisor Fee (Including VAT) - on Gross Premium</t>
  </si>
  <si>
    <t>STEP 4: CALCULATION OF NET RATE TO CLIENT (POLICY RATE) (Percentages)</t>
  </si>
  <si>
    <t>Total Return (5 years)</t>
  </si>
  <si>
    <t>Grosss Premium received from client</t>
  </si>
  <si>
    <t>Less Financial Advisor Fee (Including VAT)</t>
  </si>
  <si>
    <t>Less (No VAT) and Administration Fee (Including VAT)</t>
  </si>
  <si>
    <t>Less SARS tax charge</t>
  </si>
  <si>
    <t>Net Amount in 5 years' time client receives (Maturity Value)</t>
  </si>
  <si>
    <t>OUTPUT: Compound annual net return (after tax) to the client who stays to maturity</t>
  </si>
  <si>
    <t>Upfront product fee built-in</t>
  </si>
  <si>
    <t>Early withdrawal from your investment account, may be subject to fees and charges that can impact on the value of the final amount paid to you.</t>
  </si>
  <si>
    <t xml:space="preserve">Annual investment rate (Effective) </t>
  </si>
  <si>
    <t>Advice fee percentage (once-off – excluding VAT)</t>
  </si>
  <si>
    <t xml:space="preserve">Advice fee (once off – excluding VAT) </t>
  </si>
  <si>
    <t>In order to compare this financial product with that of other providers, it is important that you compare the rate of return as applicable and the potential risk of the product. Specifically, the rate of return is applied to your single premium amount to provide an illustrative maturity value at the end of the term of the investment (and a return of your single premium amount).</t>
  </si>
  <si>
    <t>A higher rate implies a larger illustrative maturity value. All fee calculations exclude value-added tax (VAT) at the prevailing rate, where applicable.</t>
  </si>
  <si>
    <t>The policy is structured as a five-year product, and the projected maturity value only applies after five years. If you surrender your policy before the end of the five years, the early-termination value at the time of surrender of the investments made with the product provider, will be paid to you.</t>
  </si>
  <si>
    <t>The early-termination value is calculated by the product provider. It is the balance of the investments made with them, excluding any costs incurred by them to pay out the amount.</t>
  </si>
  <si>
    <t>The value of the death benefit, will be the market value of the investment at the time of all claim requirements and supporting documents have been confirmed to be received by the administrator. The value will be calculated based on your initial investment plus any investment returns that may be due to you at the time, less fees.</t>
  </si>
  <si>
    <t>A cooling off period applies to the Policy. This means you have the right to cancel the Policy within 30 calendar days from the date on which the Administrator confirms that your application has been accepted. You must submit your cancellation instruction to the Administrator in writing. No right to cancel applies if you received any benefits during the cooling-off period. The amount that becomes payable to you on cancellation is the value of your Initial Investment Amount less losses suffered during administration of the Policy.</t>
  </si>
  <si>
    <t>Workerslife Accumulator Investment Product</t>
  </si>
  <si>
    <t>Returns earned on note</t>
  </si>
  <si>
    <t>Please complete</t>
  </si>
  <si>
    <t>Date Prepared</t>
  </si>
  <si>
    <t>Indicative Product Quotation</t>
  </si>
  <si>
    <t>Financial Advisor Support Centre</t>
  </si>
  <si>
    <t>Telephone 086 143 2383 | Fax 086 743 6959 | Email info@itransact.co.za</t>
  </si>
  <si>
    <t>Investor Support Centre</t>
  </si>
  <si>
    <t>Telephone 086 146 8383 | Fax 086 743 6959 | Email investor@itransact.co.za</t>
  </si>
  <si>
    <t>www.itransact.co.za</t>
  </si>
  <si>
    <t>The underwriter of the policy is required to pay tax on any income, dividends and capital gains tax at a rate which depends on the policyholder’s classification for tax purposes. Should there be any changes in the tax legislation or in the insurers tax position, a future deduction for tax may be required.</t>
  </si>
  <si>
    <t>The Workerslife Accumulator Investment Product is a linked endowment policy, which means that the returns you will earn under the Policy are directly related to the underlying investments. The initial investment amount, plus the return at the guaranteed rate for the investment period, is payable to the policyholder at the end of a five-year term. Workers Life itself does not guarantee the returns you will earn under the policy. However, the underlying investments are invested with the product provider, which is a large International bank which has one of the highest credit ratings among International banks, to ensure that the investment risk to you has been mitigated. The investment date and maturity date is specified below.</t>
  </si>
  <si>
    <t>Investor Declaration</t>
  </si>
  <si>
    <t>Signature of investor (or duly authorised person acting on behalf of the investor)</t>
  </si>
  <si>
    <t>Date</t>
  </si>
  <si>
    <t>Signature of financial advisor (if applicable)</t>
  </si>
  <si>
    <t>Date:_________________________________________</t>
  </si>
  <si>
    <t>The Investor hereby confirms that they have read and understood the information contained in the Product Media and Terms &amp; Conditions.</t>
  </si>
  <si>
    <t>DISCLAIMER</t>
  </si>
  <si>
    <t>Investment products offered by the Itransact Investment Platform are subject to market and other risks. It is the investors responsibility to ensure that these risks are understood before making an investment with Itransact. Investment returns will fluctuate and are subject to market volatility, and when bought or sold, may be worth more or less than their original value. Past performance is not a guide to the future performance. The information provided in this publication, which may include opinions, estimates, indicative rates, terms, price quotations and projections, reflect the existing judgment, information and conditions provided by third parties, contributing authors and various market conditions. Judgment, information and conditions are subject to change without notice, modification or amendment. Information provided by Itransact does not necessarily reflect the opinion of Itransact, its officers, employees or appointed agents. Information herein has been obtained from various public sources, and third parties and Itransact herewith indemnifies itself from any inaccuracy. Itransact recommends that independent tax, accounting, legal and financial advice be sought should any party seek to place any reliance on the information contained herein. This publication may contain ‘forward-looking’ information. Such information may include, among other things, projections and forecasts. There is no guarantee that any forecasts made will come to pass. Reliance upon information provided by Itransact is at the sole discretion of the user and does not constitute a recommendation, offer or solicitation to buy or sell any products available from Itransact or to adopt any investment strategy based thereon. Unauthorised use or disclosure of information provided by Itransact is prohibited and may not be reproduced and distributed without the express written consent of Itransact. Itransact does not provide investment advice. All rights reserved. Itransact is an authorised financial services provider.</t>
  </si>
  <si>
    <t>EFFECTIVE ANNUAL COST</t>
  </si>
  <si>
    <t>The Effective Annual Cost (EAC) is a measure which has been introduced to allow you to compare the charges you incur and their impact on investment returns when you invest in different Financial Products. It is expressed as an annualised percentage. The EAC is made up of four components, which are added together, as shown in the table below. The effect of some of the charges may vary, depending on your investment period. The EAC calculation assumes that an investor terminates his or her investment in the Financial Product at the end of the relevant periods shown in the table.</t>
  </si>
  <si>
    <t>Policy Details</t>
  </si>
  <si>
    <t xml:space="preserve">Investment Details </t>
  </si>
  <si>
    <t>Charges and Costs</t>
  </si>
  <si>
    <t>Important Information</t>
  </si>
  <si>
    <t xml:space="preserve">The illustrative maturity value of your policy will be paid to you at maturity.  </t>
  </si>
  <si>
    <t>Net Premium Percentage to be invested</t>
  </si>
  <si>
    <t>Investment</t>
  </si>
  <si>
    <t>Initial Investment</t>
  </si>
  <si>
    <t>Investment less allocation charge</t>
  </si>
  <si>
    <t>Investment maturity value</t>
  </si>
  <si>
    <t>Overall return</t>
  </si>
  <si>
    <t>Check</t>
  </si>
  <si>
    <t>Allocation charge</t>
  </si>
  <si>
    <t>Priced</t>
  </si>
  <si>
    <t>Actual</t>
  </si>
  <si>
    <t>Investor return p.a.</t>
  </si>
  <si>
    <t>Net Invested before tax</t>
  </si>
  <si>
    <t>WLATL</t>
  </si>
  <si>
    <r>
      <t xml:space="preserve">Investment Management </t>
    </r>
    <r>
      <rPr>
        <b/>
        <vertAlign val="superscript"/>
        <sz val="10"/>
        <color rgb="FF000000"/>
        <rFont val="Arial"/>
        <family val="2"/>
      </rPr>
      <t>1</t>
    </r>
  </si>
  <si>
    <r>
      <t xml:space="preserve">Advice Fee </t>
    </r>
    <r>
      <rPr>
        <b/>
        <vertAlign val="superscript"/>
        <sz val="10"/>
        <color rgb="FF000000"/>
        <rFont val="Arial"/>
        <family val="2"/>
      </rPr>
      <t>2</t>
    </r>
  </si>
  <si>
    <r>
      <t xml:space="preserve">Administration </t>
    </r>
    <r>
      <rPr>
        <b/>
        <vertAlign val="superscript"/>
        <sz val="10"/>
        <color rgb="FF000000"/>
        <rFont val="Arial"/>
        <family val="2"/>
      </rPr>
      <t>3</t>
    </r>
  </si>
  <si>
    <r>
      <t xml:space="preserve">Other </t>
    </r>
    <r>
      <rPr>
        <b/>
        <vertAlign val="superscript"/>
        <sz val="10"/>
        <color rgb="FF000000"/>
        <rFont val="Arial"/>
        <family val="2"/>
      </rPr>
      <t>4</t>
    </r>
  </si>
  <si>
    <t>1. Investment management charges include the costs of managing the product selected. Where products have their
charges contained in the price of the product this value will be zero.</t>
  </si>
  <si>
    <t>3. The administration fee is the cost to administer your investment.</t>
  </si>
  <si>
    <t>4. Other fees refer to any fee not explicitly disclosed in 1,2 and 3.</t>
  </si>
  <si>
    <t>2. Advice fees (if applicable) include initial and ongoing advice fees which are agreed to between the investor and financial advisor.</t>
  </si>
  <si>
    <t>Maturity value</t>
  </si>
  <si>
    <t>Allocation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</si>
</sst>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R&quot;#,##0.00;\-&quot;R&quot;#,##0.00"/>
    <numFmt numFmtId="44" formatCode="_-&quot;R&quot;* #,##0.00_-;\-&quot;R&quot;* #,##0.00_-;_-&quot;R&quot;* &quot;-&quot;??_-;_-@_-"/>
    <numFmt numFmtId="43" formatCode="_-* #,##0.00_-;\-* #,##0.00_-;_-* &quot;-&quot;??_-;_-@_-"/>
    <numFmt numFmtId="164" formatCode="_ &quot;R&quot;\ #,##0.00_ ;_ &quot;R&quot;\ \-#,##0.00_ ;_ &quot;R&quot;\ &quot;-&quot;??_ ;_ @_ "/>
    <numFmt numFmtId="165" formatCode="_ * #,##0_ ;_ * \-#,##0_ ;_ * &quot;-&quot;??_ ;_ @_ "/>
    <numFmt numFmtId="166" formatCode="_-* #,##0_-;\-* #,##0_-;_-* &quot;-&quot;??_-;_-@_-"/>
    <numFmt numFmtId="167" formatCode="0.0%"/>
    <numFmt numFmtId="168" formatCode="0.000%"/>
    <numFmt numFmtId="169" formatCode="0.0000000000%"/>
    <numFmt numFmtId="170" formatCode="0.0000000"/>
    <numFmt numFmtId="171" formatCode="_-* #,##0.0000_-;\-* #,##0.0000_-;_-* &quot;-&quot;??_-;_-@_-"/>
  </numFmts>
  <fonts count="20"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color theme="1"/>
      <name val="Arial"/>
      <family val="2"/>
    </font>
    <font>
      <sz val="10"/>
      <color theme="1"/>
      <name val="Arial"/>
      <family val="2"/>
    </font>
    <font>
      <sz val="10"/>
      <color rgb="FFFF0000"/>
      <name val="Arial"/>
      <family val="2"/>
    </font>
    <font>
      <b/>
      <sz val="10"/>
      <color rgb="FF000000"/>
      <name val="Arial"/>
      <family val="2"/>
    </font>
    <font>
      <sz val="10"/>
      <color rgb="FF000000"/>
      <name val="Arial"/>
      <family val="2"/>
    </font>
    <font>
      <b/>
      <vertAlign val="superscript"/>
      <sz val="10"/>
      <color rgb="FF000000"/>
      <name val="Arial"/>
      <family val="2"/>
    </font>
    <font>
      <i/>
      <sz val="10"/>
      <color theme="1"/>
      <name val="Arial"/>
      <family val="2"/>
    </font>
    <font>
      <sz val="10"/>
      <color rgb="FF0070C0"/>
      <name val="Arial"/>
      <family val="2"/>
    </font>
    <font>
      <b/>
      <i/>
      <sz val="10"/>
      <color rgb="FFFF0000"/>
      <name val="Arial"/>
      <family val="2"/>
    </font>
    <font>
      <b/>
      <u/>
      <sz val="10"/>
      <name val="Arial"/>
      <family val="2"/>
    </font>
    <font>
      <b/>
      <sz val="10"/>
      <name val="Arial"/>
      <family val="2"/>
    </font>
    <font>
      <sz val="10"/>
      <name val="Arial"/>
      <family val="2"/>
    </font>
    <font>
      <b/>
      <sz val="10"/>
      <color theme="0"/>
      <name val="Arial"/>
      <family val="2"/>
    </font>
    <font>
      <sz val="9"/>
      <color indexed="81"/>
      <name val="Tahoma"/>
      <family val="2"/>
    </font>
    <font>
      <sz val="10"/>
      <color theme="0"/>
      <name val="Arial"/>
      <family val="2"/>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9" tint="0.59999389629810485"/>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rgb="FF3F3F3F"/>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4" fillId="3" borderId="1" applyNumberFormat="0" applyAlignment="0" applyProtection="0"/>
  </cellStyleXfs>
  <cellXfs count="139">
    <xf numFmtId="0" fontId="0" fillId="0" borderId="0" xfId="0"/>
    <xf numFmtId="0" fontId="5" fillId="4" borderId="0" xfId="0" applyFont="1" applyFill="1" applyAlignment="1" applyProtection="1">
      <alignment horizontal="justify" vertical="center"/>
      <protection hidden="1"/>
    </xf>
    <xf numFmtId="0" fontId="6" fillId="4" borderId="0" xfId="0" applyFont="1" applyFill="1" applyProtection="1">
      <protection hidden="1"/>
    </xf>
    <xf numFmtId="0" fontId="6" fillId="4" borderId="0" xfId="0" applyFont="1" applyFill="1"/>
    <xf numFmtId="0" fontId="5" fillId="4" borderId="0" xfId="0" applyFont="1" applyFill="1" applyAlignment="1" applyProtection="1">
      <alignment vertical="center"/>
      <protection hidden="1"/>
    </xf>
    <xf numFmtId="0" fontId="6" fillId="4" borderId="0" xfId="0" applyFont="1" applyFill="1" applyAlignment="1" applyProtection="1">
      <alignment wrapText="1"/>
      <protection hidden="1"/>
    </xf>
    <xf numFmtId="0" fontId="6" fillId="4" borderId="0" xfId="0" applyFont="1" applyFill="1" applyAlignment="1" applyProtection="1">
      <alignment vertical="center"/>
      <protection hidden="1"/>
    </xf>
    <xf numFmtId="0" fontId="7" fillId="4" borderId="0" xfId="0" applyFont="1" applyFill="1" applyAlignment="1" applyProtection="1">
      <alignment wrapText="1"/>
      <protection hidden="1"/>
    </xf>
    <xf numFmtId="0" fontId="6" fillId="4" borderId="0" xfId="0" applyFont="1" applyFill="1" applyAlignment="1" applyProtection="1">
      <alignment horizontal="right"/>
      <protection hidden="1"/>
    </xf>
    <xf numFmtId="0" fontId="8" fillId="7" borderId="3" xfId="0" applyFont="1" applyFill="1" applyBorder="1" applyAlignment="1" applyProtection="1">
      <alignment horizontal="center" vertical="center" wrapText="1"/>
      <protection hidden="1"/>
    </xf>
    <xf numFmtId="0" fontId="9" fillId="4" borderId="0" xfId="0" applyFont="1" applyFill="1" applyAlignment="1" applyProtection="1">
      <alignment horizontal="center" vertical="center" wrapText="1"/>
      <protection hidden="1"/>
    </xf>
    <xf numFmtId="0" fontId="6" fillId="4" borderId="0" xfId="0" applyFont="1" applyFill="1" applyAlignment="1">
      <alignment wrapText="1"/>
    </xf>
    <xf numFmtId="167" fontId="9" fillId="4" borderId="3" xfId="0" applyNumberFormat="1" applyFont="1" applyFill="1" applyBorder="1" applyAlignment="1" applyProtection="1">
      <alignment vertical="center"/>
      <protection hidden="1"/>
    </xf>
    <xf numFmtId="0" fontId="9" fillId="4" borderId="0" xfId="0" applyFont="1" applyFill="1" applyAlignment="1" applyProtection="1">
      <alignment horizontal="center" vertical="center"/>
      <protection hidden="1"/>
    </xf>
    <xf numFmtId="0" fontId="9" fillId="4" borderId="0" xfId="0" applyFont="1" applyFill="1" applyAlignment="1" applyProtection="1">
      <alignment vertical="center"/>
      <protection hidden="1"/>
    </xf>
    <xf numFmtId="167" fontId="9" fillId="4" borderId="6" xfId="0" applyNumberFormat="1" applyFont="1" applyFill="1" applyBorder="1" applyAlignment="1" applyProtection="1">
      <alignment vertical="center"/>
      <protection hidden="1"/>
    </xf>
    <xf numFmtId="0" fontId="8" fillId="4" borderId="0" xfId="0" applyFont="1" applyFill="1" applyAlignment="1" applyProtection="1">
      <alignment horizontal="center" vertical="center"/>
      <protection hidden="1"/>
    </xf>
    <xf numFmtId="0" fontId="6" fillId="4" borderId="7" xfId="0" applyFont="1" applyFill="1" applyBorder="1" applyAlignment="1" applyProtection="1">
      <alignment vertical="center"/>
      <protection hidden="1"/>
    </xf>
    <xf numFmtId="0" fontId="6" fillId="4" borderId="7" xfId="0" applyFont="1" applyFill="1" applyBorder="1" applyProtection="1">
      <protection hidden="1"/>
    </xf>
    <xf numFmtId="10" fontId="11" fillId="4" borderId="3" xfId="3" applyNumberFormat="1" applyFont="1" applyFill="1" applyBorder="1" applyAlignment="1" applyProtection="1">
      <alignment vertical="center"/>
      <protection hidden="1"/>
    </xf>
    <xf numFmtId="0" fontId="6" fillId="5" borderId="3" xfId="0" applyFont="1" applyFill="1" applyBorder="1" applyAlignment="1" applyProtection="1">
      <alignment horizontal="right" vertical="center"/>
      <protection locked="0"/>
    </xf>
    <xf numFmtId="1" fontId="6" fillId="5" borderId="3" xfId="0" applyNumberFormat="1" applyFont="1" applyFill="1" applyBorder="1" applyAlignment="1" applyProtection="1">
      <alignment horizontal="right" vertical="center"/>
      <protection locked="0"/>
    </xf>
    <xf numFmtId="164" fontId="6" fillId="5" borderId="3" xfId="2" applyNumberFormat="1" applyFont="1" applyFill="1" applyBorder="1" applyAlignment="1" applyProtection="1">
      <alignment vertical="center"/>
      <protection locked="0"/>
    </xf>
    <xf numFmtId="14" fontId="7" fillId="6" borderId="0" xfId="0" applyNumberFormat="1" applyFont="1" applyFill="1"/>
    <xf numFmtId="14" fontId="7" fillId="5" borderId="0" xfId="0" applyNumberFormat="1" applyFont="1" applyFill="1"/>
    <xf numFmtId="14" fontId="12" fillId="5" borderId="0" xfId="0" applyNumberFormat="1" applyFont="1" applyFill="1"/>
    <xf numFmtId="165" fontId="7" fillId="5" borderId="0" xfId="1" applyNumberFormat="1" applyFont="1" applyFill="1"/>
    <xf numFmtId="10" fontId="7" fillId="5" borderId="0" xfId="0" applyNumberFormat="1" applyFont="1" applyFill="1"/>
    <xf numFmtId="10" fontId="6" fillId="4" borderId="0" xfId="3" applyNumberFormat="1" applyFont="1" applyFill="1"/>
    <xf numFmtId="0" fontId="6" fillId="4" borderId="0" xfId="0" applyFont="1" applyFill="1" applyAlignment="1">
      <alignment vertical="center"/>
    </xf>
    <xf numFmtId="43" fontId="12" fillId="5" borderId="0" xfId="1" applyFont="1" applyFill="1"/>
    <xf numFmtId="10" fontId="12" fillId="5" borderId="0" xfId="0" applyNumberFormat="1" applyFont="1" applyFill="1"/>
    <xf numFmtId="168" fontId="6" fillId="4" borderId="0" xfId="0" applyNumberFormat="1" applyFont="1" applyFill="1"/>
    <xf numFmtId="171" fontId="6" fillId="4" borderId="0" xfId="1" applyNumberFormat="1" applyFont="1" applyFill="1"/>
    <xf numFmtId="169" fontId="6" fillId="4" borderId="0" xfId="0" applyNumberFormat="1" applyFont="1" applyFill="1"/>
    <xf numFmtId="0" fontId="5" fillId="4" borderId="0" xfId="0" applyFont="1" applyFill="1" applyAlignment="1" applyProtection="1">
      <alignment wrapText="1"/>
      <protection hidden="1"/>
    </xf>
    <xf numFmtId="0" fontId="5" fillId="4" borderId="0" xfId="0" applyFont="1" applyFill="1" applyAlignment="1" applyProtection="1">
      <alignment horizontal="center" wrapText="1"/>
      <protection hidden="1"/>
    </xf>
    <xf numFmtId="0" fontId="5" fillId="4" borderId="0" xfId="0" applyFont="1" applyFill="1" applyAlignment="1">
      <alignment horizontal="center" wrapText="1"/>
    </xf>
    <xf numFmtId="0" fontId="5" fillId="4" borderId="0" xfId="0" applyFont="1" applyFill="1" applyAlignment="1">
      <alignment wrapText="1"/>
    </xf>
    <xf numFmtId="166" fontId="6" fillId="4" borderId="0" xfId="1" applyNumberFormat="1" applyFont="1" applyFill="1" applyProtection="1">
      <protection hidden="1"/>
    </xf>
    <xf numFmtId="10" fontId="6" fillId="4" borderId="0" xfId="0" applyNumberFormat="1" applyFont="1" applyFill="1"/>
    <xf numFmtId="10" fontId="6" fillId="4" borderId="0" xfId="3" applyNumberFormat="1" applyFont="1" applyFill="1" applyProtection="1">
      <protection hidden="1"/>
    </xf>
    <xf numFmtId="10" fontId="6" fillId="4" borderId="0" xfId="0" applyNumberFormat="1" applyFont="1" applyFill="1" applyProtection="1">
      <protection hidden="1"/>
    </xf>
    <xf numFmtId="0" fontId="11" fillId="4" borderId="0" xfId="0" applyFont="1" applyFill="1" applyProtection="1">
      <protection hidden="1"/>
    </xf>
    <xf numFmtId="10" fontId="11" fillId="4" borderId="0" xfId="0" applyNumberFormat="1" applyFont="1" applyFill="1" applyProtection="1">
      <protection hidden="1"/>
    </xf>
    <xf numFmtId="10" fontId="11" fillId="4" borderId="0" xfId="0" applyNumberFormat="1" applyFont="1" applyFill="1"/>
    <xf numFmtId="0" fontId="14" fillId="4" borderId="0" xfId="0" applyFont="1" applyFill="1"/>
    <xf numFmtId="43" fontId="15" fillId="4" borderId="8" xfId="1" applyFont="1" applyFill="1" applyBorder="1" applyAlignment="1">
      <alignment horizontal="center" vertical="center"/>
    </xf>
    <xf numFmtId="0" fontId="16" fillId="4" borderId="0" xfId="0" applyFont="1" applyFill="1"/>
    <xf numFmtId="10" fontId="15" fillId="4" borderId="9" xfId="3" applyNumberFormat="1" applyFont="1" applyFill="1" applyBorder="1" applyAlignment="1">
      <alignment horizontal="center" vertical="center"/>
    </xf>
    <xf numFmtId="0" fontId="17" fillId="8" borderId="10" xfId="0" applyFont="1" applyFill="1" applyBorder="1"/>
    <xf numFmtId="43" fontId="15" fillId="8" borderId="11" xfId="1" applyFont="1" applyFill="1" applyBorder="1"/>
    <xf numFmtId="0" fontId="16" fillId="4" borderId="12" xfId="0" applyFont="1" applyFill="1" applyBorder="1" applyAlignment="1">
      <alignment wrapText="1"/>
    </xf>
    <xf numFmtId="14" fontId="15" fillId="4" borderId="13" xfId="4" applyNumberFormat="1" applyFont="1" applyFill="1" applyBorder="1" applyProtection="1">
      <protection locked="0"/>
    </xf>
    <xf numFmtId="0" fontId="16" fillId="4" borderId="14" xfId="0" applyFont="1" applyFill="1" applyBorder="1"/>
    <xf numFmtId="14" fontId="16" fillId="4" borderId="15" xfId="6" applyNumberFormat="1" applyFont="1" applyFill="1" applyBorder="1" applyProtection="1"/>
    <xf numFmtId="0" fontId="16" fillId="4" borderId="16" xfId="0" applyFont="1" applyFill="1" applyBorder="1"/>
    <xf numFmtId="170" fontId="16" fillId="4" borderId="17" xfId="5" applyNumberFormat="1" applyFont="1" applyFill="1" applyBorder="1" applyProtection="1"/>
    <xf numFmtId="0" fontId="17" fillId="8" borderId="8" xfId="0" applyFont="1" applyFill="1" applyBorder="1"/>
    <xf numFmtId="43" fontId="15" fillId="8" borderId="8" xfId="1" applyFont="1" applyFill="1" applyBorder="1"/>
    <xf numFmtId="0" fontId="15" fillId="4" borderId="16" xfId="0" applyFont="1" applyFill="1" applyBorder="1"/>
    <xf numFmtId="168" fontId="15" fillId="4" borderId="17" xfId="5" applyNumberFormat="1" applyFont="1" applyFill="1" applyBorder="1" applyProtection="1"/>
    <xf numFmtId="43" fontId="15" fillId="8" borderId="18" xfId="1" applyFont="1" applyFill="1" applyBorder="1"/>
    <xf numFmtId="0" fontId="16" fillId="4" borderId="12" xfId="0" applyFont="1" applyFill="1" applyBorder="1"/>
    <xf numFmtId="10" fontId="16" fillId="9" borderId="13" xfId="3" applyNumberFormat="1" applyFont="1" applyFill="1" applyBorder="1" applyProtection="1"/>
    <xf numFmtId="10" fontId="16" fillId="4" borderId="15" xfId="3" applyNumberFormat="1" applyFont="1" applyFill="1" applyBorder="1" applyProtection="1"/>
    <xf numFmtId="0" fontId="16" fillId="4" borderId="19" xfId="0" applyFont="1" applyFill="1" applyBorder="1"/>
    <xf numFmtId="10" fontId="16" fillId="4" borderId="20" xfId="3" applyNumberFormat="1" applyFont="1" applyFill="1" applyBorder="1"/>
    <xf numFmtId="10" fontId="16" fillId="4" borderId="17" xfId="3" applyNumberFormat="1" applyFont="1" applyFill="1" applyBorder="1"/>
    <xf numFmtId="43" fontId="16" fillId="4" borderId="0" xfId="1" applyFont="1" applyFill="1"/>
    <xf numFmtId="43" fontId="15" fillId="4" borderId="0" xfId="1" applyFont="1" applyFill="1" applyBorder="1"/>
    <xf numFmtId="43" fontId="6" fillId="4" borderId="0" xfId="1" applyFont="1" applyFill="1"/>
    <xf numFmtId="0" fontId="16" fillId="4" borderId="21" xfId="0" applyFont="1" applyFill="1" applyBorder="1"/>
    <xf numFmtId="10" fontId="16" fillId="4" borderId="22" xfId="6" applyNumberFormat="1" applyFont="1" applyFill="1" applyBorder="1" applyProtection="1"/>
    <xf numFmtId="10" fontId="16" fillId="4" borderId="0" xfId="6" applyNumberFormat="1" applyFont="1" applyFill="1" applyBorder="1" applyProtection="1"/>
    <xf numFmtId="10" fontId="16" fillId="4" borderId="20" xfId="6" applyNumberFormat="1" applyFont="1" applyFill="1" applyBorder="1" applyProtection="1"/>
    <xf numFmtId="10" fontId="16" fillId="4" borderId="15" xfId="6" applyNumberFormat="1" applyFont="1" applyFill="1" applyBorder="1" applyProtection="1"/>
    <xf numFmtId="43" fontId="16" fillId="4" borderId="0" xfId="1" applyFont="1" applyFill="1" applyBorder="1" applyProtection="1"/>
    <xf numFmtId="10" fontId="6" fillId="4" borderId="23" xfId="3" applyNumberFormat="1" applyFont="1" applyFill="1" applyBorder="1"/>
    <xf numFmtId="10" fontId="6" fillId="4" borderId="0" xfId="3" applyNumberFormat="1" applyFont="1" applyFill="1" applyBorder="1"/>
    <xf numFmtId="43" fontId="6" fillId="4" borderId="0" xfId="1" applyFont="1" applyFill="1" applyBorder="1"/>
    <xf numFmtId="0" fontId="16" fillId="4" borderId="24" xfId="0" applyFont="1" applyFill="1" applyBorder="1"/>
    <xf numFmtId="10" fontId="6" fillId="4" borderId="25" xfId="3" applyNumberFormat="1" applyFont="1" applyFill="1" applyBorder="1"/>
    <xf numFmtId="10" fontId="16" fillId="4" borderId="13" xfId="6" applyNumberFormat="1" applyFont="1" applyFill="1" applyBorder="1" applyProtection="1"/>
    <xf numFmtId="10" fontId="16" fillId="4" borderId="26" xfId="6" applyNumberFormat="1" applyFont="1" applyFill="1" applyBorder="1"/>
    <xf numFmtId="10" fontId="16" fillId="4" borderId="0" xfId="6" applyNumberFormat="1" applyFont="1" applyFill="1" applyBorder="1"/>
    <xf numFmtId="0" fontId="15" fillId="4" borderId="21" xfId="0" applyFont="1" applyFill="1" applyBorder="1"/>
    <xf numFmtId="10" fontId="15" fillId="6" borderId="27" xfId="5" applyNumberFormat="1" applyFont="1" applyFill="1" applyBorder="1" applyProtection="1"/>
    <xf numFmtId="10" fontId="15" fillId="4" borderId="0" xfId="5" applyNumberFormat="1" applyFont="1" applyFill="1" applyBorder="1" applyProtection="1"/>
    <xf numFmtId="0" fontId="7" fillId="4" borderId="0" xfId="0" applyFont="1" applyFill="1" applyProtection="1">
      <protection hidden="1"/>
    </xf>
    <xf numFmtId="0" fontId="5" fillId="11" borderId="0" xfId="0" applyFont="1" applyFill="1" applyAlignment="1" applyProtection="1">
      <alignment vertical="center"/>
      <protection hidden="1"/>
    </xf>
    <xf numFmtId="0" fontId="6" fillId="11" borderId="0" xfId="0" applyFont="1" applyFill="1" applyAlignment="1" applyProtection="1">
      <alignment vertical="center"/>
      <protection hidden="1"/>
    </xf>
    <xf numFmtId="0" fontId="6" fillId="11" borderId="0" xfId="0" applyFont="1" applyFill="1" applyProtection="1">
      <protection hidden="1"/>
    </xf>
    <xf numFmtId="0" fontId="5" fillId="11" borderId="0" xfId="0" applyFont="1" applyFill="1" applyAlignment="1" applyProtection="1">
      <alignment wrapText="1"/>
      <protection hidden="1"/>
    </xf>
    <xf numFmtId="0" fontId="6" fillId="11" borderId="0" xfId="0" applyFont="1" applyFill="1" applyAlignment="1" applyProtection="1">
      <alignment wrapText="1"/>
      <protection hidden="1"/>
    </xf>
    <xf numFmtId="0" fontId="6" fillId="4" borderId="28" xfId="0" applyFont="1" applyFill="1" applyBorder="1" applyProtection="1">
      <protection hidden="1"/>
    </xf>
    <xf numFmtId="0" fontId="6" fillId="4" borderId="28" xfId="0" applyFont="1" applyFill="1" applyBorder="1" applyAlignment="1" applyProtection="1">
      <alignment vertical="center"/>
      <protection hidden="1"/>
    </xf>
    <xf numFmtId="0" fontId="6" fillId="4" borderId="0" xfId="0" applyFont="1" applyFill="1" applyAlignment="1" applyProtection="1">
      <alignment horizontal="left" vertical="center" wrapText="1"/>
      <protection hidden="1"/>
    </xf>
    <xf numFmtId="0" fontId="6" fillId="11" borderId="0" xfId="0" applyFont="1" applyFill="1" applyAlignment="1" applyProtection="1">
      <alignment horizontal="right"/>
      <protection hidden="1"/>
    </xf>
    <xf numFmtId="10" fontId="11" fillId="4" borderId="0" xfId="3" applyNumberFormat="1" applyFont="1" applyFill="1" applyBorder="1" applyAlignment="1" applyProtection="1">
      <alignment vertical="center"/>
      <protection hidden="1"/>
    </xf>
    <xf numFmtId="0" fontId="5" fillId="11" borderId="0" xfId="0" applyFont="1" applyFill="1" applyProtection="1">
      <protection hidden="1"/>
    </xf>
    <xf numFmtId="43" fontId="6" fillId="4" borderId="0" xfId="0" applyNumberFormat="1" applyFont="1" applyFill="1" applyProtection="1">
      <protection hidden="1"/>
    </xf>
    <xf numFmtId="7" fontId="6" fillId="4" borderId="0" xfId="0" applyNumberFormat="1" applyFont="1" applyFill="1" applyProtection="1">
      <protection hidden="1"/>
    </xf>
    <xf numFmtId="43" fontId="6" fillId="4" borderId="0" xfId="1" applyFont="1" applyFill="1" applyProtection="1">
      <protection hidden="1"/>
    </xf>
    <xf numFmtId="43" fontId="6" fillId="4" borderId="0" xfId="0" applyNumberFormat="1" applyFont="1" applyFill="1"/>
    <xf numFmtId="10" fontId="6" fillId="6" borderId="0" xfId="0" applyNumberFormat="1" applyFont="1" applyFill="1"/>
    <xf numFmtId="164" fontId="6" fillId="4" borderId="0" xfId="0" applyNumberFormat="1" applyFont="1" applyFill="1" applyProtection="1">
      <protection hidden="1"/>
    </xf>
    <xf numFmtId="0" fontId="5" fillId="4" borderId="0" xfId="0" applyFont="1" applyFill="1" applyProtection="1">
      <protection hidden="1"/>
    </xf>
    <xf numFmtId="7" fontId="5" fillId="4" borderId="0" xfId="0" applyNumberFormat="1" applyFont="1" applyFill="1" applyProtection="1">
      <protection hidden="1"/>
    </xf>
    <xf numFmtId="7" fontId="6" fillId="4" borderId="0" xfId="0" applyNumberFormat="1" applyFont="1" applyFill="1"/>
    <xf numFmtId="164" fontId="6" fillId="4" borderId="0" xfId="0" applyNumberFormat="1" applyFont="1" applyFill="1"/>
    <xf numFmtId="9" fontId="6" fillId="4" borderId="0" xfId="0" applyNumberFormat="1" applyFont="1" applyFill="1"/>
    <xf numFmtId="0" fontId="13" fillId="12" borderId="0" xfId="0" applyFont="1" applyFill="1" applyProtection="1">
      <protection hidden="1"/>
    </xf>
    <xf numFmtId="166" fontId="6" fillId="12" borderId="0" xfId="1" applyNumberFormat="1" applyFont="1" applyFill="1"/>
    <xf numFmtId="166" fontId="6" fillId="12" borderId="0" xfId="1" applyNumberFormat="1" applyFont="1" applyFill="1" applyProtection="1">
      <protection hidden="1"/>
    </xf>
    <xf numFmtId="0" fontId="19" fillId="4" borderId="0" xfId="0" applyFont="1" applyFill="1"/>
    <xf numFmtId="0" fontId="8" fillId="4" borderId="4" xfId="0" applyFont="1" applyFill="1" applyBorder="1" applyAlignment="1" applyProtection="1">
      <alignment vertical="center"/>
      <protection hidden="1"/>
    </xf>
    <xf numFmtId="0" fontId="8" fillId="4" borderId="29" xfId="0" applyFont="1" applyFill="1" applyBorder="1" applyAlignment="1" applyProtection="1">
      <alignment vertical="center"/>
      <protection hidden="1"/>
    </xf>
    <xf numFmtId="0" fontId="8" fillId="4" borderId="0" xfId="0" applyFont="1" applyFill="1" applyAlignment="1" applyProtection="1">
      <alignment vertical="center"/>
      <protection hidden="1"/>
    </xf>
    <xf numFmtId="0" fontId="8" fillId="7" borderId="29" xfId="0" applyFont="1" applyFill="1" applyBorder="1" applyAlignment="1" applyProtection="1">
      <alignment vertical="center" wrapText="1"/>
      <protection hidden="1"/>
    </xf>
    <xf numFmtId="0" fontId="8" fillId="4" borderId="30" xfId="0" applyFont="1" applyFill="1" applyBorder="1" applyAlignment="1" applyProtection="1">
      <alignment vertical="center"/>
      <protection hidden="1"/>
    </xf>
    <xf numFmtId="0" fontId="8" fillId="4" borderId="31" xfId="0" applyFont="1" applyFill="1" applyBorder="1" applyAlignment="1" applyProtection="1">
      <alignment vertical="center"/>
      <protection hidden="1"/>
    </xf>
    <xf numFmtId="0" fontId="8" fillId="7" borderId="31" xfId="0" applyFont="1" applyFill="1" applyBorder="1" applyAlignment="1" applyProtection="1">
      <alignment vertical="center" wrapText="1"/>
      <protection hidden="1"/>
    </xf>
    <xf numFmtId="0" fontId="6" fillId="4" borderId="0" xfId="0" applyFont="1" applyFill="1" applyAlignment="1" applyProtection="1">
      <alignment horizontal="left" vertical="center" wrapText="1"/>
      <protection hidden="1"/>
    </xf>
    <xf numFmtId="14" fontId="6" fillId="4" borderId="4" xfId="0" applyNumberFormat="1" applyFont="1" applyFill="1" applyBorder="1" applyAlignment="1" applyProtection="1">
      <alignment horizontal="right" vertical="center"/>
      <protection hidden="1"/>
    </xf>
    <xf numFmtId="14" fontId="6" fillId="4" borderId="5" xfId="0" applyNumberFormat="1" applyFont="1" applyFill="1" applyBorder="1" applyAlignment="1" applyProtection="1">
      <alignment horizontal="right" vertical="center"/>
      <protection hidden="1"/>
    </xf>
    <xf numFmtId="0" fontId="6" fillId="4" borderId="0" xfId="0" applyFont="1" applyFill="1" applyAlignment="1" applyProtection="1">
      <alignment vertical="center" wrapText="1"/>
      <protection hidden="1"/>
    </xf>
    <xf numFmtId="0" fontId="6" fillId="4" borderId="0" xfId="0" applyFont="1" applyFill="1" applyAlignment="1" applyProtection="1">
      <alignment wrapText="1"/>
      <protection hidden="1"/>
    </xf>
    <xf numFmtId="0" fontId="6" fillId="4" borderId="4" xfId="0" applyFont="1" applyFill="1" applyBorder="1" applyAlignment="1" applyProtection="1">
      <alignment horizontal="right" vertical="center"/>
      <protection hidden="1"/>
    </xf>
    <xf numFmtId="0" fontId="6" fillId="4" borderId="5" xfId="0" applyFont="1" applyFill="1" applyBorder="1" applyAlignment="1" applyProtection="1">
      <alignment horizontal="right" vertical="center"/>
      <protection hidden="1"/>
    </xf>
    <xf numFmtId="164" fontId="6" fillId="4" borderId="4" xfId="2" applyNumberFormat="1" applyFont="1" applyFill="1" applyBorder="1" applyAlignment="1" applyProtection="1">
      <alignment horizontal="right" vertical="center"/>
      <protection hidden="1"/>
    </xf>
    <xf numFmtId="164" fontId="6" fillId="4" borderId="5" xfId="2" applyNumberFormat="1" applyFont="1" applyFill="1" applyBorder="1" applyAlignment="1" applyProtection="1">
      <alignment horizontal="right" vertical="center"/>
      <protection hidden="1"/>
    </xf>
    <xf numFmtId="10" fontId="6" fillId="4" borderId="4" xfId="3" applyNumberFormat="1" applyFont="1" applyFill="1" applyBorder="1" applyAlignment="1" applyProtection="1">
      <alignment horizontal="right" vertical="center"/>
      <protection hidden="1"/>
    </xf>
    <xf numFmtId="10" fontId="6" fillId="4" borderId="5" xfId="3" applyNumberFormat="1" applyFont="1" applyFill="1" applyBorder="1" applyAlignment="1" applyProtection="1">
      <alignment horizontal="right" vertical="center"/>
      <protection hidden="1"/>
    </xf>
    <xf numFmtId="10" fontId="6" fillId="4" borderId="4" xfId="0" applyNumberFormat="1" applyFont="1" applyFill="1" applyBorder="1" applyAlignment="1" applyProtection="1">
      <alignment horizontal="right" vertical="center"/>
      <protection hidden="1"/>
    </xf>
    <xf numFmtId="10" fontId="6" fillId="4" borderId="5" xfId="0" applyNumberFormat="1" applyFont="1" applyFill="1" applyBorder="1" applyAlignment="1" applyProtection="1">
      <alignment horizontal="right" vertical="center"/>
      <protection hidden="1"/>
    </xf>
    <xf numFmtId="0" fontId="5" fillId="11" borderId="0" xfId="0" applyFont="1" applyFill="1" applyProtection="1">
      <protection hidden="1"/>
    </xf>
    <xf numFmtId="0" fontId="6" fillId="4" borderId="0" xfId="0" quotePrefix="1" applyFont="1" applyFill="1" applyAlignment="1" applyProtection="1">
      <alignment wrapText="1"/>
      <protection hidden="1"/>
    </xf>
    <xf numFmtId="10" fontId="6" fillId="10" borderId="3" xfId="3" applyNumberFormat="1" applyFont="1" applyFill="1" applyBorder="1" applyAlignment="1" applyProtection="1">
      <alignment horizontal="right" vertical="center"/>
    </xf>
  </cellXfs>
  <cellStyles count="7">
    <cellStyle name="Calculation" xfId="6" builtinId="22"/>
    <cellStyle name="Comma" xfId="1" builtinId="3"/>
    <cellStyle name="Currency" xfId="2" builtinId="4"/>
    <cellStyle name="Input" xfId="4" builtinId="20"/>
    <cellStyle name="Normal" xfId="0" builtinId="0"/>
    <cellStyle name="Output" xfId="5" builtinId="2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186267</xdr:colOff>
      <xdr:row>2</xdr:row>
      <xdr:rowOff>33867</xdr:rowOff>
    </xdr:from>
    <xdr:to>
      <xdr:col>2</xdr:col>
      <xdr:colOff>189442</xdr:colOff>
      <xdr:row>7</xdr:row>
      <xdr:rowOff>65065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817" y="392642"/>
          <a:ext cx="2420257" cy="795625"/>
        </a:xfrm>
        <a:prstGeom prst="rect">
          <a:avLst/>
        </a:prstGeom>
      </xdr:spPr>
    </xdr:pic>
    <xdr:clientData/>
  </xdr:twoCellAnchor>
  <xdr:twoCellAnchor editAs="oneCell">
    <xdr:from>
      <xdr:col>0</xdr:col>
      <xdr:colOff>171450</xdr:colOff>
      <xdr:row>0</xdr:row>
      <xdr:rowOff>114300</xdr:rowOff>
    </xdr:from>
    <xdr:to>
      <xdr:col>0</xdr:col>
      <xdr:colOff>2444750</xdr:colOff>
      <xdr:row>7</xdr:row>
      <xdr:rowOff>56380</xdr:rowOff>
    </xdr:to>
    <xdr:pic>
      <xdr:nvPicPr>
        <xdr:cNvPr id="4" name="Picture 3" descr="Shades">
          <a:extLst>
            <a:ext uri="{FF2B5EF4-FFF2-40B4-BE49-F238E27FC236}">
              <a16:creationId xmlns:a16="http://schemas.microsoft.com/office/drawing/2014/main" id="{23BC8A9E-0688-73A2-78EE-DDEF0747E6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14300"/>
          <a:ext cx="2276475" cy="1075555"/>
        </a:xfrm>
        <a:prstGeom prst="rect">
          <a:avLst/>
        </a:prstGeom>
        <a:noFill/>
        <a:ln>
          <a:noFill/>
        </a:ln>
      </xdr:spPr>
    </xdr:pic>
    <xdr:clientData/>
  </xdr:twoCellAnchor>
  <xdr:twoCellAnchor editAs="oneCell">
    <xdr:from>
      <xdr:col>0</xdr:col>
      <xdr:colOff>6100206</xdr:colOff>
      <xdr:row>1</xdr:row>
      <xdr:rowOff>29214</xdr:rowOff>
    </xdr:from>
    <xdr:to>
      <xdr:col>5</xdr:col>
      <xdr:colOff>114300</xdr:colOff>
      <xdr:row>6</xdr:row>
      <xdr:rowOff>88899</xdr:rowOff>
    </xdr:to>
    <xdr:pic>
      <xdr:nvPicPr>
        <xdr:cNvPr id="5" name="Picture 4">
          <a:extLst>
            <a:ext uri="{FF2B5EF4-FFF2-40B4-BE49-F238E27FC236}">
              <a16:creationId xmlns:a16="http://schemas.microsoft.com/office/drawing/2014/main" id="{286DC62E-1928-BF5F-D15D-F51D5BB534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00206" y="191139"/>
          <a:ext cx="3596244" cy="8661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7A8B2-DFD2-4992-AA38-4EED0D5D2DCF}">
  <sheetPr codeName="Sheet2"/>
  <dimension ref="A1:XFD115"/>
  <sheetViews>
    <sheetView tabSelected="1" workbookViewId="0">
      <selection activeCell="C10" sqref="C10:C13"/>
    </sheetView>
  </sheetViews>
  <sheetFormatPr defaultColWidth="8.81640625" defaultRowHeight="12.5" x14ac:dyDescent="0.25"/>
  <cols>
    <col min="1" max="1" width="73.54296875" style="2" customWidth="1"/>
    <col min="2" max="2" width="20.453125" style="2" customWidth="1"/>
    <col min="3" max="3" width="23" style="3" customWidth="1"/>
    <col min="4" max="4" width="23.1796875" style="3" bestFit="1" customWidth="1"/>
    <col min="5" max="5" width="14.1796875" style="3" customWidth="1"/>
    <col min="6" max="10" width="11.1796875" style="3" bestFit="1" customWidth="1"/>
    <col min="11" max="16384" width="8.81640625" style="3"/>
  </cols>
  <sheetData>
    <row r="1" spans="1:4 16384:16384" x14ac:dyDescent="0.25">
      <c r="C1" s="2"/>
      <c r="D1" s="2"/>
    </row>
    <row r="2" spans="1:4 16384:16384" x14ac:dyDescent="0.25">
      <c r="C2" s="2"/>
      <c r="D2" s="2"/>
      <c r="XFD2" s="115" t="s">
        <v>124</v>
      </c>
    </row>
    <row r="3" spans="1:4 16384:16384" ht="13" x14ac:dyDescent="0.25">
      <c r="A3" s="4" t="s">
        <v>85</v>
      </c>
      <c r="C3" s="2"/>
      <c r="D3" s="2"/>
    </row>
    <row r="4" spans="1:4 16384:16384" ht="13" hidden="1" x14ac:dyDescent="0.25">
      <c r="A4" s="4"/>
      <c r="C4" s="2"/>
      <c r="D4" s="2"/>
    </row>
    <row r="5" spans="1:4 16384:16384" ht="13" hidden="1" x14ac:dyDescent="0.25">
      <c r="A5" s="4"/>
      <c r="C5" s="2"/>
      <c r="D5" s="2"/>
    </row>
    <row r="6" spans="1:4 16384:16384" ht="13" hidden="1" x14ac:dyDescent="0.25">
      <c r="A6" s="4"/>
      <c r="C6" s="2"/>
      <c r="D6" s="2"/>
    </row>
    <row r="7" spans="1:4 16384:16384" ht="13" x14ac:dyDescent="0.25">
      <c r="A7" s="4"/>
      <c r="C7" s="2"/>
      <c r="D7" s="2"/>
    </row>
    <row r="8" spans="1:4 16384:16384" ht="13" x14ac:dyDescent="0.25">
      <c r="A8" s="4" t="s">
        <v>0</v>
      </c>
      <c r="B8" s="4"/>
      <c r="C8" s="2"/>
      <c r="D8" s="2"/>
    </row>
    <row r="9" spans="1:4 16384:16384" x14ac:dyDescent="0.25">
      <c r="A9" s="6"/>
      <c r="B9" s="6"/>
      <c r="C9" s="2"/>
      <c r="D9" s="2"/>
    </row>
    <row r="10" spans="1:4 16384:16384" x14ac:dyDescent="0.25">
      <c r="A10" s="6" t="s">
        <v>1</v>
      </c>
      <c r="B10" s="6"/>
      <c r="C10" s="20"/>
      <c r="D10" s="89" t="s">
        <v>87</v>
      </c>
    </row>
    <row r="11" spans="1:4 16384:16384" x14ac:dyDescent="0.25">
      <c r="A11" s="6" t="s">
        <v>2</v>
      </c>
      <c r="B11" s="6"/>
      <c r="C11" s="21"/>
      <c r="D11" s="89" t="s">
        <v>87</v>
      </c>
    </row>
    <row r="12" spans="1:4 16384:16384" x14ac:dyDescent="0.25">
      <c r="A12" s="6" t="s">
        <v>3</v>
      </c>
      <c r="B12" s="6"/>
      <c r="C12" s="20"/>
      <c r="D12" s="89" t="s">
        <v>87</v>
      </c>
    </row>
    <row r="13" spans="1:4 16384:16384" x14ac:dyDescent="0.25">
      <c r="A13" s="6" t="s">
        <v>4</v>
      </c>
      <c r="B13" s="6"/>
      <c r="C13" s="20"/>
      <c r="D13" s="89" t="s">
        <v>87</v>
      </c>
    </row>
    <row r="14" spans="1:4 16384:16384" x14ac:dyDescent="0.25">
      <c r="A14" s="6"/>
      <c r="B14" s="6"/>
      <c r="C14" s="2"/>
      <c r="D14" s="89"/>
    </row>
    <row r="15" spans="1:4 16384:16384" x14ac:dyDescent="0.25">
      <c r="A15" s="6" t="s">
        <v>5</v>
      </c>
      <c r="B15" s="6"/>
      <c r="C15" s="22">
        <v>100000</v>
      </c>
      <c r="D15" s="89" t="s">
        <v>87</v>
      </c>
    </row>
    <row r="16" spans="1:4 16384:16384" x14ac:dyDescent="0.25">
      <c r="A16" s="6" t="s">
        <v>6</v>
      </c>
      <c r="B16" s="6"/>
      <c r="C16" s="138">
        <v>2.5000000000000001E-2</v>
      </c>
      <c r="D16" s="2"/>
    </row>
    <row r="17" spans="1:4" x14ac:dyDescent="0.25">
      <c r="A17" s="6"/>
      <c r="B17" s="6"/>
      <c r="C17" s="2"/>
      <c r="D17" s="2"/>
    </row>
    <row r="18" spans="1:4" x14ac:dyDescent="0.25">
      <c r="A18" s="6"/>
      <c r="B18" s="6"/>
      <c r="C18" s="2"/>
      <c r="D18" s="2"/>
    </row>
    <row r="19" spans="1:4" x14ac:dyDescent="0.25">
      <c r="A19" s="6"/>
      <c r="B19" s="6"/>
      <c r="C19" s="2"/>
      <c r="D19" s="2"/>
    </row>
    <row r="20" spans="1:4" x14ac:dyDescent="0.25">
      <c r="A20" s="6"/>
      <c r="B20" s="6"/>
      <c r="C20" s="2"/>
      <c r="D20" s="2"/>
    </row>
    <row r="21" spans="1:4" x14ac:dyDescent="0.25">
      <c r="A21" s="6"/>
      <c r="B21" s="6"/>
      <c r="C21" s="2"/>
      <c r="D21" s="2"/>
    </row>
    <row r="22" spans="1:4" hidden="1" x14ac:dyDescent="0.25">
      <c r="A22" s="6"/>
      <c r="B22" s="6"/>
      <c r="C22" s="2"/>
      <c r="D22" s="2"/>
    </row>
    <row r="23" spans="1:4" ht="30.65" hidden="1" customHeight="1" x14ac:dyDescent="0.25">
      <c r="A23" s="6"/>
      <c r="B23" s="6"/>
      <c r="C23" s="2"/>
      <c r="D23" s="2"/>
    </row>
    <row r="24" spans="1:4" ht="15" hidden="1" customHeight="1" x14ac:dyDescent="0.25">
      <c r="A24" s="6"/>
      <c r="B24" s="6"/>
      <c r="C24" s="2"/>
      <c r="D24" s="2"/>
    </row>
    <row r="25" spans="1:4" ht="13.75" hidden="1" customHeight="1" x14ac:dyDescent="0.25">
      <c r="A25" s="4" t="s">
        <v>7</v>
      </c>
      <c r="B25" s="6"/>
    </row>
    <row r="26" spans="1:4" hidden="1" x14ac:dyDescent="0.25">
      <c r="A26" s="6"/>
      <c r="B26" s="6"/>
    </row>
    <row r="27" spans="1:4" hidden="1" x14ac:dyDescent="0.25">
      <c r="A27" s="6" t="s">
        <v>8</v>
      </c>
      <c r="B27" s="6"/>
      <c r="C27" s="23">
        <v>45138</v>
      </c>
    </row>
    <row r="28" spans="1:4" hidden="1" x14ac:dyDescent="0.25">
      <c r="A28" s="6" t="s">
        <v>9</v>
      </c>
      <c r="B28" s="6"/>
      <c r="C28" s="24">
        <f>C27+365.25/52*6-7</f>
        <v>45173.144230769234</v>
      </c>
    </row>
    <row r="29" spans="1:4" hidden="1" x14ac:dyDescent="0.25">
      <c r="A29" s="6" t="s">
        <v>10</v>
      </c>
      <c r="B29" s="6"/>
      <c r="C29" s="24">
        <f>C28</f>
        <v>45173.144230769234</v>
      </c>
    </row>
    <row r="30" spans="1:4" hidden="1" x14ac:dyDescent="0.25">
      <c r="A30" s="6" t="s">
        <v>11</v>
      </c>
      <c r="B30" s="6"/>
      <c r="C30" s="25">
        <f>DATE(YEAR(C29)+5,MONTH(C29),DAY(C29)-1)</f>
        <v>46999</v>
      </c>
    </row>
    <row r="31" spans="1:4" hidden="1" x14ac:dyDescent="0.25">
      <c r="A31" s="6"/>
      <c r="B31" s="6"/>
    </row>
    <row r="32" spans="1:4" hidden="1" x14ac:dyDescent="0.25">
      <c r="A32" s="6" t="s">
        <v>12</v>
      </c>
      <c r="B32" s="6"/>
      <c r="C32" s="26">
        <v>100000</v>
      </c>
    </row>
    <row r="33" spans="1:5" hidden="1" x14ac:dyDescent="0.25">
      <c r="A33" s="6" t="s">
        <v>13</v>
      </c>
      <c r="B33" s="6"/>
      <c r="C33" s="26">
        <v>100000000</v>
      </c>
    </row>
    <row r="34" spans="1:5" hidden="1" x14ac:dyDescent="0.25">
      <c r="A34" s="6" t="s">
        <v>14</v>
      </c>
      <c r="B34" s="6"/>
      <c r="C34" s="27">
        <f>B78/1.15+B79</f>
        <v>7.1000000000000008E-2</v>
      </c>
      <c r="D34" s="28"/>
    </row>
    <row r="35" spans="1:5" hidden="1" x14ac:dyDescent="0.25">
      <c r="A35" s="6"/>
      <c r="B35" s="6"/>
      <c r="C35" s="29"/>
    </row>
    <row r="36" spans="1:5" hidden="1" x14ac:dyDescent="0.25">
      <c r="A36" s="6" t="s">
        <v>15</v>
      </c>
      <c r="B36" s="6"/>
      <c r="C36" s="30">
        <f>C15*(1+C37)^B72</f>
        <v>141593.86643368396</v>
      </c>
    </row>
    <row r="37" spans="1:5" hidden="1" x14ac:dyDescent="0.25">
      <c r="A37" s="6" t="s">
        <v>16</v>
      </c>
      <c r="B37" s="6"/>
      <c r="C37" s="31">
        <f>B94</f>
        <v>7.2034811609210214E-2</v>
      </c>
      <c r="D37" s="28"/>
    </row>
    <row r="38" spans="1:5" hidden="1" x14ac:dyDescent="0.25">
      <c r="A38" s="6"/>
      <c r="B38" s="6"/>
    </row>
    <row r="39" spans="1:5" hidden="1" x14ac:dyDescent="0.25">
      <c r="A39" s="6" t="s">
        <v>17</v>
      </c>
    </row>
    <row r="40" spans="1:5" hidden="1" x14ac:dyDescent="0.25">
      <c r="A40" s="2" t="s">
        <v>18</v>
      </c>
      <c r="C40" s="27">
        <v>8.0000000000000002E-3</v>
      </c>
      <c r="D40" s="3" t="s">
        <v>19</v>
      </c>
    </row>
    <row r="41" spans="1:5" hidden="1" x14ac:dyDescent="0.25">
      <c r="A41" s="2" t="s">
        <v>20</v>
      </c>
      <c r="C41" s="27">
        <v>6.0000000000000001E-3</v>
      </c>
    </row>
    <row r="42" spans="1:5" hidden="1" x14ac:dyDescent="0.25">
      <c r="A42" s="2" t="s">
        <v>21</v>
      </c>
      <c r="B42" s="6"/>
      <c r="C42" s="27">
        <v>4.0000000000000001E-3</v>
      </c>
    </row>
    <row r="43" spans="1:5" hidden="1" x14ac:dyDescent="0.25">
      <c r="A43" s="2" t="s">
        <v>22</v>
      </c>
      <c r="B43" s="6"/>
      <c r="C43" s="27">
        <v>2E-3</v>
      </c>
    </row>
    <row r="44" spans="1:5" hidden="1" x14ac:dyDescent="0.25">
      <c r="A44" s="2" t="s">
        <v>23</v>
      </c>
      <c r="C44" s="27">
        <v>0</v>
      </c>
    </row>
    <row r="45" spans="1:5" hidden="1" x14ac:dyDescent="0.25"/>
    <row r="46" spans="1:5" hidden="1" x14ac:dyDescent="0.25">
      <c r="A46" s="6" t="s">
        <v>24</v>
      </c>
      <c r="B46" s="6"/>
      <c r="C46" s="27">
        <f>(C36/B50)^(1/B72)-1</f>
        <v>9.5351786379322734E-2</v>
      </c>
      <c r="D46" s="32"/>
    </row>
    <row r="47" spans="1:5" hidden="1" x14ac:dyDescent="0.25">
      <c r="A47" s="2" t="s">
        <v>86</v>
      </c>
      <c r="C47" s="27">
        <f>B66</f>
        <v>0.1036</v>
      </c>
      <c r="D47" s="33"/>
      <c r="E47" s="34"/>
    </row>
    <row r="48" spans="1:5" hidden="1" x14ac:dyDescent="0.25"/>
    <row r="49" spans="1:5" s="38" customFormat="1" ht="13" hidden="1" x14ac:dyDescent="0.3">
      <c r="A49" s="35" t="s">
        <v>25</v>
      </c>
      <c r="B49" s="36">
        <v>1</v>
      </c>
      <c r="C49" s="37">
        <v>3</v>
      </c>
      <c r="D49" s="37">
        <v>5</v>
      </c>
      <c r="E49" s="37"/>
    </row>
    <row r="50" spans="1:5" hidden="1" x14ac:dyDescent="0.25">
      <c r="A50" s="2" t="s">
        <v>123</v>
      </c>
      <c r="B50" s="39">
        <f>$C$15*(1-SUM($B$78:$B$79,$B$81))</f>
        <v>89800</v>
      </c>
      <c r="C50" s="39">
        <f t="shared" ref="C50:D50" si="0">$C$15*(1-SUM($B$78:$B$79,$B$81))</f>
        <v>89800</v>
      </c>
      <c r="D50" s="39">
        <f t="shared" si="0"/>
        <v>89800</v>
      </c>
      <c r="E50" s="40"/>
    </row>
    <row r="51" spans="1:5" hidden="1" x14ac:dyDescent="0.25">
      <c r="B51" s="39"/>
      <c r="C51" s="39"/>
      <c r="D51" s="39"/>
      <c r="E51" s="40"/>
    </row>
    <row r="52" spans="1:5" ht="13" hidden="1" x14ac:dyDescent="0.3">
      <c r="A52" s="112" t="s">
        <v>26</v>
      </c>
      <c r="B52" s="113">
        <f>B$50*(1+$C$47)^B$49</f>
        <v>99103.28</v>
      </c>
      <c r="C52" s="113">
        <f t="shared" ref="C52:D52" si="1">C$50*(1+$C$47)^C$49</f>
        <v>120701.15115610877</v>
      </c>
      <c r="D52" s="113">
        <f t="shared" si="1"/>
        <v>147005.91030296695</v>
      </c>
    </row>
    <row r="53" spans="1:5" ht="13" hidden="1" x14ac:dyDescent="0.3">
      <c r="A53" s="112" t="s">
        <v>27</v>
      </c>
      <c r="B53" s="114">
        <f>B$50*(1+$C$46)^B$49</f>
        <v>98362.590416863182</v>
      </c>
      <c r="C53" s="114">
        <f t="shared" ref="C53:D53" si="2">C$50*(1+$C$46)^C$49</f>
        <v>118014.99688411001</v>
      </c>
      <c r="D53" s="114">
        <f t="shared" si="2"/>
        <v>141593.86643368402</v>
      </c>
    </row>
    <row r="54" spans="1:5" ht="13" hidden="1" x14ac:dyDescent="0.3">
      <c r="A54" s="112" t="s">
        <v>28</v>
      </c>
      <c r="B54" s="114">
        <f>B53*(1-C40)</f>
        <v>97575.689693528271</v>
      </c>
      <c r="C54" s="113">
        <f>C53*(1-C42)</f>
        <v>117542.93689657356</v>
      </c>
      <c r="D54" s="113">
        <f>D53*(1-C44)</f>
        <v>141593.86643368402</v>
      </c>
      <c r="E54" s="40"/>
    </row>
    <row r="55" spans="1:5" hidden="1" x14ac:dyDescent="0.25">
      <c r="A55" s="2" t="s">
        <v>29</v>
      </c>
      <c r="B55" s="41">
        <f>(B52/B$50)^(1/B49)-1</f>
        <v>0.10359999999999991</v>
      </c>
      <c r="C55" s="41">
        <f t="shared" ref="C55:D55" si="3">(C52/C$50)^(1/C49)-1</f>
        <v>0.10359999999999991</v>
      </c>
      <c r="D55" s="41">
        <f t="shared" si="3"/>
        <v>0.10359999999999991</v>
      </c>
    </row>
    <row r="56" spans="1:5" hidden="1" x14ac:dyDescent="0.25">
      <c r="A56" s="2" t="s">
        <v>30</v>
      </c>
      <c r="B56" s="41">
        <f>(B53/B$50)^(1/B49)-1</f>
        <v>9.5351786379322734E-2</v>
      </c>
      <c r="C56" s="41">
        <f t="shared" ref="C56:D56" si="4">(C53/C$50)^(1/C49)-1</f>
        <v>9.5351786379322734E-2</v>
      </c>
      <c r="D56" s="41">
        <f t="shared" si="4"/>
        <v>9.5351786379322734E-2</v>
      </c>
    </row>
    <row r="57" spans="1:5" hidden="1" x14ac:dyDescent="0.25">
      <c r="A57" s="2" t="s">
        <v>31</v>
      </c>
      <c r="B57" s="41">
        <f>(B54/B$50)^(1/B49)-1</f>
        <v>8.6588972088288196E-2</v>
      </c>
      <c r="C57" s="41">
        <f t="shared" ref="C57:D57" si="5">(C54/C$50)^(1/C49)-1</f>
        <v>9.388936569986317E-2</v>
      </c>
      <c r="D57" s="41">
        <f t="shared" si="5"/>
        <v>9.5351786379322734E-2</v>
      </c>
    </row>
    <row r="58" spans="1:5" hidden="1" x14ac:dyDescent="0.25">
      <c r="A58" s="2" t="s">
        <v>32</v>
      </c>
      <c r="B58" s="41">
        <f>(B54/$C$15)^(1/B49)-1</f>
        <v>-2.4243103064717331E-2</v>
      </c>
      <c r="C58" s="41">
        <f t="shared" ref="C58:D58" si="6">(C54/$C$15)^(1/C49)-1</f>
        <v>5.5355665432759382E-2</v>
      </c>
      <c r="D58" s="41">
        <f t="shared" si="6"/>
        <v>7.2034811609210436E-2</v>
      </c>
    </row>
    <row r="59" spans="1:5" hidden="1" x14ac:dyDescent="0.25">
      <c r="A59" s="2" t="s">
        <v>33</v>
      </c>
      <c r="B59" s="42">
        <f>B55-B58</f>
        <v>0.12784310306471725</v>
      </c>
      <c r="C59" s="40">
        <f t="shared" ref="C59:D59" si="7">C55-C58</f>
        <v>4.8244334567240532E-2</v>
      </c>
      <c r="D59" s="40">
        <f t="shared" si="7"/>
        <v>3.1565188390789478E-2</v>
      </c>
    </row>
    <row r="60" spans="1:5" hidden="1" x14ac:dyDescent="0.25">
      <c r="A60" s="2" t="s">
        <v>34</v>
      </c>
      <c r="B60" s="42">
        <f>B55-B56</f>
        <v>8.2482136206771806E-3</v>
      </c>
      <c r="C60" s="42">
        <f t="shared" ref="C60:D60" si="8">C55-C56</f>
        <v>8.2482136206771806E-3</v>
      </c>
      <c r="D60" s="42">
        <f t="shared" si="8"/>
        <v>8.2482136206771806E-3</v>
      </c>
    </row>
    <row r="61" spans="1:5" hidden="1" x14ac:dyDescent="0.25">
      <c r="A61" s="2" t="s">
        <v>35</v>
      </c>
      <c r="B61" s="42">
        <f>B56-B57</f>
        <v>8.7628142910345375E-3</v>
      </c>
      <c r="C61" s="40">
        <f t="shared" ref="C61:D61" si="9">C56-C57</f>
        <v>1.462420679459564E-3</v>
      </c>
      <c r="D61" s="40">
        <f t="shared" si="9"/>
        <v>0</v>
      </c>
      <c r="E61" s="40"/>
    </row>
    <row r="62" spans="1:5" hidden="1" x14ac:dyDescent="0.25">
      <c r="A62" s="2" t="s">
        <v>36</v>
      </c>
      <c r="B62" s="42">
        <f>(B59-SUM(B60:B61))*(($B$78+$B$79)/(($B$78+$B$79)+$C$16*1.15))</f>
        <v>7.9592642205467204E-2</v>
      </c>
      <c r="C62" s="42">
        <f t="shared" ref="C62:D62" si="10">(C59-SUM(C60:C61))*(($B$78+$B$79)/(($B$78+$B$79)+$C$16*1.15))</f>
        <v>2.7672485731032866E-2</v>
      </c>
      <c r="D62" s="42">
        <f t="shared" si="10"/>
        <v>1.6744788254026723E-2</v>
      </c>
    </row>
    <row r="63" spans="1:5" hidden="1" x14ac:dyDescent="0.25">
      <c r="A63" s="2" t="s">
        <v>37</v>
      </c>
      <c r="B63" s="42">
        <f>(B59-SUM(B60:B61))*($C$16*1.15/(SUM($B$78:$B$79)+$C$16*1.15))</f>
        <v>3.1239432947538323E-2</v>
      </c>
      <c r="C63" s="42">
        <f t="shared" ref="C63:D63" si="11">(C59-SUM(C60:C61))*($C$16*1.15/(SUM($B$78:$B$79)+$C$16*1.15))</f>
        <v>1.0861214536070921E-2</v>
      </c>
      <c r="D63" s="42">
        <f t="shared" si="11"/>
        <v>6.5721865160855743E-3</v>
      </c>
    </row>
    <row r="64" spans="1:5" ht="13" hidden="1" x14ac:dyDescent="0.3">
      <c r="A64" s="43" t="s">
        <v>38</v>
      </c>
      <c r="B64" s="44">
        <f>B59-SUM(B60:B63)</f>
        <v>0</v>
      </c>
      <c r="C64" s="45">
        <f t="shared" ref="C64:D64" si="12">C59-SUM(C60:C63)</f>
        <v>0</v>
      </c>
      <c r="D64" s="45">
        <f t="shared" si="12"/>
        <v>0</v>
      </c>
    </row>
    <row r="65" spans="1:6" hidden="1" x14ac:dyDescent="0.25"/>
    <row r="66" spans="1:6" ht="13" hidden="1" thickBot="1" x14ac:dyDescent="0.3">
      <c r="B66" s="105">
        <v>0.1036</v>
      </c>
    </row>
    <row r="67" spans="1:6" ht="13" hidden="1" x14ac:dyDescent="0.3">
      <c r="A67" s="46" t="s">
        <v>53</v>
      </c>
      <c r="B67" s="47" t="s">
        <v>54</v>
      </c>
    </row>
    <row r="68" spans="1:6" ht="13.5" hidden="1" thickBot="1" x14ac:dyDescent="0.3">
      <c r="A68" s="48" t="s">
        <v>55</v>
      </c>
      <c r="B68" s="49">
        <f>C16</f>
        <v>2.5000000000000001E-2</v>
      </c>
    </row>
    <row r="69" spans="1:6" ht="13.5" hidden="1" thickBot="1" x14ac:dyDescent="0.35">
      <c r="A69" s="50" t="s">
        <v>56</v>
      </c>
      <c r="B69" s="51"/>
    </row>
    <row r="70" spans="1:6" ht="13" hidden="1" x14ac:dyDescent="0.3">
      <c r="A70" s="52" t="s">
        <v>57</v>
      </c>
      <c r="B70" s="53">
        <f>C29</f>
        <v>45173.144230769234</v>
      </c>
    </row>
    <row r="71" spans="1:6" hidden="1" x14ac:dyDescent="0.25">
      <c r="A71" s="54" t="s">
        <v>58</v>
      </c>
      <c r="B71" s="55">
        <f>C30</f>
        <v>46999</v>
      </c>
    </row>
    <row r="72" spans="1:6" ht="13" hidden="1" thickBot="1" x14ac:dyDescent="0.3">
      <c r="A72" s="56" t="s">
        <v>59</v>
      </c>
      <c r="B72" s="57">
        <v>5</v>
      </c>
      <c r="C72" s="57">
        <f>B72</f>
        <v>5</v>
      </c>
      <c r="D72" s="57">
        <f>B72</f>
        <v>5</v>
      </c>
    </row>
    <row r="73" spans="1:6" ht="13" hidden="1" thickBot="1" x14ac:dyDescent="0.3">
      <c r="A73" s="48"/>
      <c r="B73" s="48"/>
      <c r="D73" s="48"/>
    </row>
    <row r="74" spans="1:6" ht="13" hidden="1" x14ac:dyDescent="0.3">
      <c r="A74" s="58" t="s">
        <v>60</v>
      </c>
      <c r="B74" s="59"/>
      <c r="C74" s="59"/>
      <c r="D74" s="59"/>
    </row>
    <row r="75" spans="1:6" ht="13.5" hidden="1" thickBot="1" x14ac:dyDescent="0.35">
      <c r="A75" s="60" t="s">
        <v>61</v>
      </c>
      <c r="B75" s="61">
        <f>((1+B66)^B72-1)/B72</f>
        <v>0.12740737261239854</v>
      </c>
      <c r="C75" s="61">
        <f>((1+B66)^B72-1)/B72</f>
        <v>0.12740737261239854</v>
      </c>
      <c r="D75" s="61">
        <f>C75</f>
        <v>0.12740737261239854</v>
      </c>
    </row>
    <row r="76" spans="1:6" ht="13" hidden="1" thickBot="1" x14ac:dyDescent="0.3">
      <c r="A76" s="48"/>
      <c r="B76" s="48"/>
      <c r="C76" s="48"/>
      <c r="D76" s="48"/>
    </row>
    <row r="77" spans="1:6" ht="13.5" hidden="1" thickBot="1" x14ac:dyDescent="0.35">
      <c r="A77" s="58" t="s">
        <v>62</v>
      </c>
      <c r="B77" s="62"/>
      <c r="C77" s="62"/>
      <c r="D77" s="62"/>
    </row>
    <row r="78" spans="1:6" hidden="1" x14ac:dyDescent="0.25">
      <c r="A78" s="63" t="s">
        <v>63</v>
      </c>
      <c r="B78" s="64">
        <f>1.5%*1.15</f>
        <v>1.7249999999999998E-2</v>
      </c>
      <c r="C78" s="64">
        <f>B78</f>
        <v>1.7249999999999998E-2</v>
      </c>
      <c r="D78" s="64">
        <f>1.5%*1.15</f>
        <v>1.7249999999999998E-2</v>
      </c>
      <c r="F78" s="40"/>
    </row>
    <row r="79" spans="1:6" hidden="1" x14ac:dyDescent="0.25">
      <c r="A79" s="54" t="s">
        <v>74</v>
      </c>
      <c r="B79" s="65">
        <v>5.6000000000000001E-2</v>
      </c>
      <c r="C79" s="65">
        <f>B79</f>
        <v>5.6000000000000001E-2</v>
      </c>
      <c r="D79" s="65">
        <v>5.6000000000000001E-2</v>
      </c>
      <c r="F79" s="111"/>
    </row>
    <row r="80" spans="1:6" hidden="1" x14ac:dyDescent="0.25">
      <c r="A80" s="54" t="s">
        <v>64</v>
      </c>
      <c r="B80" s="65">
        <v>0.06</v>
      </c>
      <c r="C80" s="65"/>
      <c r="D80" s="65">
        <v>0.06</v>
      </c>
    </row>
    <row r="81" spans="1:10" hidden="1" x14ac:dyDescent="0.25">
      <c r="A81" s="66" t="s">
        <v>65</v>
      </c>
      <c r="B81" s="67">
        <f>+$B$68*1.15</f>
        <v>2.8749999999999998E-2</v>
      </c>
      <c r="C81" s="67">
        <f>B81</f>
        <v>2.8749999999999998E-2</v>
      </c>
      <c r="D81" s="67">
        <f>+$B$68*1.15</f>
        <v>2.8749999999999998E-2</v>
      </c>
    </row>
    <row r="82" spans="1:10" ht="13" hidden="1" thickBot="1" x14ac:dyDescent="0.3">
      <c r="A82" s="56"/>
      <c r="B82" s="68"/>
      <c r="C82" s="68"/>
      <c r="D82" s="68"/>
      <c r="E82" s="40"/>
      <c r="F82" s="40"/>
      <c r="G82" s="40"/>
    </row>
    <row r="83" spans="1:10" ht="13" hidden="1" thickBot="1" x14ac:dyDescent="0.3">
      <c r="A83" s="48"/>
      <c r="B83" s="69"/>
      <c r="C83" s="69"/>
      <c r="D83" s="69"/>
    </row>
    <row r="84" spans="1:10" ht="13.5" hidden="1" thickBot="1" x14ac:dyDescent="0.35">
      <c r="A84" s="58" t="s">
        <v>66</v>
      </c>
      <c r="B84" s="62"/>
      <c r="C84" s="62"/>
      <c r="D84" s="62"/>
      <c r="E84" s="70"/>
      <c r="I84" s="71"/>
      <c r="J84" s="71"/>
    </row>
    <row r="85" spans="1:10" ht="13" hidden="1" thickBot="1" x14ac:dyDescent="0.3">
      <c r="A85" s="72" t="s">
        <v>67</v>
      </c>
      <c r="B85" s="73">
        <f>+B75*B72</f>
        <v>0.6370368630619927</v>
      </c>
      <c r="C85" s="73">
        <f>C75*5</f>
        <v>0.6370368630619927</v>
      </c>
      <c r="D85" s="73">
        <f>+D75*D72</f>
        <v>0.6370368630619927</v>
      </c>
      <c r="E85" s="74"/>
      <c r="I85" s="71"/>
      <c r="J85" s="71"/>
    </row>
    <row r="86" spans="1:10" hidden="1" x14ac:dyDescent="0.25">
      <c r="A86" s="66" t="s">
        <v>68</v>
      </c>
      <c r="B86" s="75">
        <v>1</v>
      </c>
      <c r="C86" s="75">
        <v>1</v>
      </c>
      <c r="D86" s="75">
        <v>1</v>
      </c>
      <c r="E86" s="74"/>
      <c r="I86" s="71"/>
      <c r="J86" s="71"/>
    </row>
    <row r="87" spans="1:10" hidden="1" x14ac:dyDescent="0.25">
      <c r="A87" s="54" t="s">
        <v>69</v>
      </c>
      <c r="B87" s="76">
        <f>-B81</f>
        <v>-2.8749999999999998E-2</v>
      </c>
      <c r="C87" s="76">
        <f>-C81</f>
        <v>-2.8749999999999998E-2</v>
      </c>
      <c r="D87" s="76">
        <f>-D81</f>
        <v>-2.8749999999999998E-2</v>
      </c>
      <c r="E87" s="74"/>
      <c r="I87" s="71"/>
      <c r="J87" s="71"/>
    </row>
    <row r="88" spans="1:10" hidden="1" x14ac:dyDescent="0.25">
      <c r="A88" s="54" t="s">
        <v>70</v>
      </c>
      <c r="B88" s="76">
        <f>-B86*B78</f>
        <v>-1.7249999999999998E-2</v>
      </c>
      <c r="C88" s="76">
        <f>-C86*C78</f>
        <v>-1.7249999999999998E-2</v>
      </c>
      <c r="D88" s="76">
        <f>-D86*D78</f>
        <v>-1.7249999999999998E-2</v>
      </c>
      <c r="E88" s="77"/>
      <c r="F88" s="71"/>
      <c r="G88" s="71"/>
      <c r="H88" s="71"/>
      <c r="I88" s="71"/>
      <c r="J88" s="71"/>
    </row>
    <row r="89" spans="1:10" hidden="1" x14ac:dyDescent="0.25">
      <c r="A89" s="54" t="s">
        <v>74</v>
      </c>
      <c r="B89" s="76">
        <f>-B86*B79</f>
        <v>-5.6000000000000001E-2</v>
      </c>
      <c r="C89" s="76">
        <f>-C86*C79</f>
        <v>-5.6000000000000001E-2</v>
      </c>
      <c r="D89" s="76">
        <f>-D86*D79</f>
        <v>-5.6000000000000001E-2</v>
      </c>
      <c r="E89" s="77"/>
      <c r="F89" s="71"/>
      <c r="G89" s="71"/>
      <c r="H89" s="71"/>
      <c r="I89" s="71"/>
      <c r="J89" s="71"/>
    </row>
    <row r="90" spans="1:10" hidden="1" x14ac:dyDescent="0.25">
      <c r="A90" s="54"/>
      <c r="B90" s="78"/>
      <c r="C90" s="78"/>
      <c r="D90" s="78"/>
      <c r="E90" s="80"/>
      <c r="F90" s="71"/>
      <c r="G90" s="71"/>
      <c r="H90" s="71"/>
      <c r="I90" s="71"/>
    </row>
    <row r="91" spans="1:10" ht="13" hidden="1" thickBot="1" x14ac:dyDescent="0.3">
      <c r="A91" s="81" t="s">
        <v>71</v>
      </c>
      <c r="B91" s="82">
        <f>-ROUND((B85*(B80))*(1-B81-B78-B79)/(1+B85*(B80)),5)</f>
        <v>-3.3059999999999999E-2</v>
      </c>
      <c r="C91" s="82"/>
      <c r="D91" s="82">
        <f>-ROUND((D85*(D80))*(1-D81-D78-D79)/(1+D85*(D80)),5)</f>
        <v>-3.3059999999999999E-2</v>
      </c>
      <c r="E91" s="79"/>
    </row>
    <row r="92" spans="1:10" hidden="1" x14ac:dyDescent="0.25">
      <c r="A92" s="63" t="s">
        <v>112</v>
      </c>
      <c r="B92" s="83">
        <f>SUM(B86:B91)</f>
        <v>0.86493999999999993</v>
      </c>
      <c r="C92" s="83">
        <f>SUM(C86:C91)</f>
        <v>0.89799999999999991</v>
      </c>
      <c r="D92" s="83">
        <f>SUM(D86:D91)</f>
        <v>0.86493999999999993</v>
      </c>
      <c r="E92" s="77"/>
      <c r="F92" s="104"/>
      <c r="G92" s="104"/>
      <c r="H92" s="104"/>
      <c r="I92" s="104"/>
      <c r="J92" s="104"/>
    </row>
    <row r="93" spans="1:10" ht="13" hidden="1" thickBot="1" x14ac:dyDescent="0.3">
      <c r="A93" s="81" t="s">
        <v>72</v>
      </c>
      <c r="B93" s="84">
        <f>B92*(1+(B75*B72))</f>
        <v>1.4159386643368399</v>
      </c>
      <c r="C93" s="84">
        <f>C92*(1+(C75*C72))</f>
        <v>1.4700591030296692</v>
      </c>
      <c r="D93" s="84">
        <f>D92*(1+(D75*D72))</f>
        <v>1.4159386643368399</v>
      </c>
      <c r="E93" s="85"/>
    </row>
    <row r="94" spans="1:10" ht="13.5" hidden="1" thickBot="1" x14ac:dyDescent="0.35">
      <c r="A94" s="86" t="s">
        <v>73</v>
      </c>
      <c r="B94" s="87">
        <f>(B93/B86)^(1/B72)-1</f>
        <v>7.2034811609210214E-2</v>
      </c>
      <c r="C94" s="87">
        <f>(C93/C86)^(1/C72)-1</f>
        <v>8.0107443840160997E-2</v>
      </c>
      <c r="D94" s="87">
        <f>(D93/D86)^(1/D72)-1</f>
        <v>7.2034811609210214E-2</v>
      </c>
      <c r="E94" s="88"/>
    </row>
    <row r="95" spans="1:10" hidden="1" x14ac:dyDescent="0.25"/>
    <row r="96" spans="1:10" hidden="1" x14ac:dyDescent="0.25">
      <c r="B96" s="103"/>
      <c r="C96" s="71"/>
      <c r="D96" s="71"/>
    </row>
    <row r="97" spans="1:4" hidden="1" x14ac:dyDescent="0.25">
      <c r="B97" s="103"/>
      <c r="C97" s="71"/>
      <c r="D97" s="104"/>
    </row>
    <row r="98" spans="1:4" hidden="1" x14ac:dyDescent="0.25">
      <c r="B98" s="103"/>
      <c r="C98" s="103"/>
    </row>
    <row r="99" spans="1:4" hidden="1" x14ac:dyDescent="0.25">
      <c r="B99" s="103"/>
      <c r="C99" s="103"/>
    </row>
    <row r="100" spans="1:4" hidden="1" x14ac:dyDescent="0.25">
      <c r="B100" s="103"/>
      <c r="C100" s="103"/>
    </row>
    <row r="101" spans="1:4" hidden="1" x14ac:dyDescent="0.25"/>
    <row r="102" spans="1:4" hidden="1" x14ac:dyDescent="0.25"/>
    <row r="103" spans="1:4" hidden="1" x14ac:dyDescent="0.25"/>
    <row r="104" spans="1:4" hidden="1" x14ac:dyDescent="0.25">
      <c r="A104" s="2" t="s">
        <v>113</v>
      </c>
      <c r="B104" s="2" t="s">
        <v>120</v>
      </c>
      <c r="C104" s="3" t="s">
        <v>121</v>
      </c>
    </row>
    <row r="105" spans="1:4" hidden="1" x14ac:dyDescent="0.25">
      <c r="A105" s="2" t="s">
        <v>114</v>
      </c>
      <c r="B105" s="106">
        <f>C15</f>
        <v>100000</v>
      </c>
      <c r="C105" s="110">
        <f>B105</f>
        <v>100000</v>
      </c>
    </row>
    <row r="106" spans="1:4" ht="13" hidden="1" x14ac:dyDescent="0.3">
      <c r="A106" s="107" t="s">
        <v>119</v>
      </c>
      <c r="B106" s="108">
        <f>B105*(B78+B79+B81-B91)</f>
        <v>13505.999999999998</v>
      </c>
    </row>
    <row r="107" spans="1:4" hidden="1" x14ac:dyDescent="0.25">
      <c r="A107" s="2" t="s">
        <v>115</v>
      </c>
      <c r="B107" s="102">
        <f>B105-B106</f>
        <v>86494</v>
      </c>
      <c r="C107" s="109">
        <f>C105*C92</f>
        <v>89799.999999999985</v>
      </c>
    </row>
    <row r="108" spans="1:4" hidden="1" x14ac:dyDescent="0.25">
      <c r="A108" s="2" t="s">
        <v>116</v>
      </c>
      <c r="B108" s="102">
        <f>B105*(1+B94)^5</f>
        <v>141593.86643368396</v>
      </c>
      <c r="C108" s="109">
        <f>C107*(1+B66-B60)^5</f>
        <v>141593.86643368402</v>
      </c>
    </row>
    <row r="109" spans="1:4" hidden="1" x14ac:dyDescent="0.25">
      <c r="A109" s="2" t="s">
        <v>117</v>
      </c>
      <c r="B109" s="2">
        <f>B108/B107-1</f>
        <v>0.63703686306199225</v>
      </c>
      <c r="C109" s="109"/>
    </row>
    <row r="110" spans="1:4" hidden="1" x14ac:dyDescent="0.25">
      <c r="A110" s="2" t="s">
        <v>118</v>
      </c>
      <c r="B110" s="103">
        <f>B109-C85</f>
        <v>0</v>
      </c>
    </row>
    <row r="111" spans="1:4" hidden="1" x14ac:dyDescent="0.25">
      <c r="A111" s="2" t="s">
        <v>122</v>
      </c>
      <c r="B111" s="42">
        <f>(B108/B105)^(1/5)-1</f>
        <v>7.2034811609210214E-2</v>
      </c>
      <c r="C111" s="41">
        <f>(C108/C105)^(1/5)-1</f>
        <v>7.2034811609210436E-2</v>
      </c>
    </row>
    <row r="112" spans="1:4" hidden="1" x14ac:dyDescent="0.25"/>
    <row r="113" spans="2:2" hidden="1" x14ac:dyDescent="0.25">
      <c r="B113" s="103"/>
    </row>
    <row r="114" spans="2:2" hidden="1" x14ac:dyDescent="0.25">
      <c r="B114" s="102"/>
    </row>
    <row r="115" spans="2:2" x14ac:dyDescent="0.25">
      <c r="B115" s="101"/>
    </row>
  </sheetData>
  <sheetProtection algorithmName="SHA-512" hashValue="dlU8LkJDv/DxRFVV2n1D36OiDXO2deJyQFFNAZdoy5xtEV7TFOCD0wZbURJPwHrMqMgbdI625spaAg2A+To26w==" saltValue="IHuElZKIgvmoOrhUSabvTg==" spinCount="100000" sheet="1" objects="1" scenarios="1"/>
  <protectedRanges>
    <protectedRange sqref="C10:C13 C15" name="Range1"/>
  </protectedRanges>
  <dataValidations count="2">
    <dataValidation type="decimal" allowBlank="1" showInputMessage="1" showErrorMessage="1" sqref="C15" xr:uid="{E4896126-B8FB-4CE6-A758-84363306E926}">
      <formula1>100000</formula1>
      <formula2>100000000</formula2>
    </dataValidation>
    <dataValidation allowBlank="1" showInputMessage="1" showErrorMessage="1" prompt="Do not cha_x000a_nge unless instructed_x000a_" sqref="B68" xr:uid="{F4A4FCD9-EAB3-4E25-A338-F50A254EFC51}"/>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6389-160B-492C-B723-26B3AEDAAB3B}">
  <sheetPr codeName="Sheet1"/>
  <dimension ref="A1:F108"/>
  <sheetViews>
    <sheetView view="pageBreakPreview" zoomScaleNormal="100" zoomScaleSheetLayoutView="100" workbookViewId="0">
      <selection activeCell="A16" sqref="A16"/>
    </sheetView>
  </sheetViews>
  <sheetFormatPr defaultColWidth="0" defaultRowHeight="0" customHeight="1" zeroHeight="1" x14ac:dyDescent="0.25"/>
  <cols>
    <col min="1" max="1" width="93.453125" style="2" customWidth="1"/>
    <col min="2" max="2" width="11.453125" style="2" customWidth="1"/>
    <col min="3" max="5" width="13" style="2" customWidth="1"/>
    <col min="6" max="6" width="9.1796875" style="2" customWidth="1"/>
    <col min="7" max="16384" width="9.1796875" style="3" hidden="1"/>
  </cols>
  <sheetData>
    <row r="1" spans="1:5" ht="12.5" x14ac:dyDescent="0.25"/>
    <row r="2" spans="1:5" ht="12.5" x14ac:dyDescent="0.25"/>
    <row r="3" spans="1:5" ht="12.5" x14ac:dyDescent="0.25"/>
    <row r="4" spans="1:5" ht="12.5" x14ac:dyDescent="0.25"/>
    <row r="5" spans="1:5" ht="12.5" x14ac:dyDescent="0.25"/>
    <row r="6" spans="1:5" ht="12.5" x14ac:dyDescent="0.25"/>
    <row r="7" spans="1:5" ht="12.5" x14ac:dyDescent="0.25"/>
    <row r="8" spans="1:5" ht="12.5" x14ac:dyDescent="0.25"/>
    <row r="9" spans="1:5" ht="13" x14ac:dyDescent="0.25">
      <c r="A9" s="4" t="s">
        <v>85</v>
      </c>
      <c r="B9" s="4"/>
      <c r="C9" s="4"/>
    </row>
    <row r="10" spans="1:5" ht="13" x14ac:dyDescent="0.25">
      <c r="A10" s="1"/>
      <c r="B10" s="1"/>
      <c r="C10" s="1"/>
    </row>
    <row r="11" spans="1:5" ht="64" customHeight="1" x14ac:dyDescent="0.25">
      <c r="A11" s="126" t="s">
        <v>96</v>
      </c>
      <c r="B11" s="126"/>
      <c r="C11" s="126"/>
      <c r="D11" s="126"/>
      <c r="E11" s="126"/>
    </row>
    <row r="12" spans="1:5" ht="12.5" x14ac:dyDescent="0.25">
      <c r="A12" s="5"/>
      <c r="B12" s="5"/>
      <c r="C12" s="5"/>
      <c r="D12" s="5"/>
      <c r="E12" s="5"/>
    </row>
    <row r="13" spans="1:5" ht="27" customHeight="1" x14ac:dyDescent="0.25">
      <c r="A13" s="126" t="s">
        <v>95</v>
      </c>
      <c r="B13" s="126"/>
      <c r="C13" s="126"/>
      <c r="D13" s="126"/>
      <c r="E13" s="126"/>
    </row>
    <row r="14" spans="1:5" ht="24" customHeight="1" x14ac:dyDescent="0.25">
      <c r="A14" s="127" t="s">
        <v>75</v>
      </c>
      <c r="B14" s="127"/>
      <c r="C14" s="127"/>
      <c r="D14" s="127"/>
      <c r="E14" s="127"/>
    </row>
    <row r="15" spans="1:5" ht="12.5" x14ac:dyDescent="0.25">
      <c r="A15" s="6"/>
      <c r="B15" s="6"/>
      <c r="C15" s="6"/>
    </row>
    <row r="16" spans="1:5" ht="13" x14ac:dyDescent="0.25">
      <c r="A16" s="4" t="s">
        <v>89</v>
      </c>
      <c r="B16" s="4"/>
      <c r="C16" s="4"/>
    </row>
    <row r="17" spans="1:6" ht="13" x14ac:dyDescent="0.25">
      <c r="A17" s="4"/>
      <c r="B17" s="4"/>
      <c r="C17" s="4"/>
    </row>
    <row r="18" spans="1:6" ht="27.65" customHeight="1" x14ac:dyDescent="0.25">
      <c r="A18" s="126" t="s">
        <v>39</v>
      </c>
      <c r="B18" s="126"/>
      <c r="C18" s="126"/>
      <c r="D18" s="126"/>
      <c r="E18" s="126"/>
    </row>
    <row r="19" spans="1:6" ht="20.25" customHeight="1" x14ac:dyDescent="0.25">
      <c r="A19" s="7" t="str">
        <f>"This quote is valid from "&amp;DAY(Inputs!C27)&amp;"/"&amp;MONTH(Inputs!C27)&amp;"/"&amp;YEAR(Inputs!C27)&amp;" until "&amp;DAY(Inputs!C28)&amp;"/"&amp;MONTH(Inputs!C28)&amp;"/"&amp;YEAR(Inputs!C28)&amp;" only."</f>
        <v>This quote is valid from 31/7/2023 until 4/9/2023 only.</v>
      </c>
      <c r="B19" s="7"/>
      <c r="C19" s="7"/>
      <c r="D19" s="5"/>
      <c r="E19" s="5"/>
    </row>
    <row r="20" spans="1:6" ht="16.5" customHeight="1" x14ac:dyDescent="0.25">
      <c r="A20" s="5"/>
      <c r="B20" s="5"/>
      <c r="C20" s="5"/>
      <c r="D20" s="5"/>
    </row>
    <row r="21" spans="1:6" ht="12.5" x14ac:dyDescent="0.25">
      <c r="A21" s="6" t="s">
        <v>88</v>
      </c>
      <c r="B21" s="6"/>
      <c r="C21" s="6"/>
      <c r="D21" s="124">
        <f ca="1">TODAY()</f>
        <v>45138</v>
      </c>
      <c r="E21" s="125"/>
    </row>
    <row r="22" spans="1:6" ht="12.5" x14ac:dyDescent="0.25">
      <c r="A22" s="6" t="s">
        <v>1</v>
      </c>
      <c r="B22" s="6"/>
      <c r="C22" s="6"/>
      <c r="D22" s="128">
        <f>Inputs!C10</f>
        <v>0</v>
      </c>
      <c r="E22" s="129"/>
    </row>
    <row r="23" spans="1:6" ht="12.5" x14ac:dyDescent="0.25">
      <c r="A23" s="6" t="s">
        <v>2</v>
      </c>
      <c r="B23" s="6"/>
      <c r="C23" s="6"/>
      <c r="D23" s="128">
        <f>Inputs!C11</f>
        <v>0</v>
      </c>
      <c r="E23" s="129"/>
    </row>
    <row r="24" spans="1:6" ht="12.5" x14ac:dyDescent="0.25">
      <c r="A24" s="6" t="s">
        <v>3</v>
      </c>
      <c r="B24" s="6"/>
      <c r="C24" s="6"/>
      <c r="D24" s="128">
        <f>Inputs!C12</f>
        <v>0</v>
      </c>
      <c r="E24" s="129"/>
    </row>
    <row r="25" spans="1:6" ht="12.5" x14ac:dyDescent="0.25">
      <c r="A25" s="6" t="s">
        <v>4</v>
      </c>
      <c r="B25" s="6"/>
      <c r="C25" s="6"/>
      <c r="D25" s="128">
        <f>Inputs!C13</f>
        <v>0</v>
      </c>
      <c r="E25" s="129"/>
    </row>
    <row r="26" spans="1:6" ht="12.5" x14ac:dyDescent="0.25">
      <c r="A26" s="6"/>
      <c r="B26" s="6"/>
      <c r="C26" s="6"/>
      <c r="D26" s="6"/>
      <c r="E26" s="8"/>
    </row>
    <row r="27" spans="1:6" ht="13" x14ac:dyDescent="0.25">
      <c r="A27" s="90" t="s">
        <v>107</v>
      </c>
      <c r="B27" s="90"/>
      <c r="C27" s="90"/>
      <c r="D27" s="90"/>
      <c r="E27" s="98"/>
      <c r="F27" s="92"/>
    </row>
    <row r="28" spans="1:6" ht="12.5" x14ac:dyDescent="0.25">
      <c r="A28" s="6" t="s">
        <v>40</v>
      </c>
      <c r="B28" s="6"/>
      <c r="C28" s="6"/>
      <c r="D28" s="128" t="s">
        <v>41</v>
      </c>
      <c r="E28" s="129"/>
    </row>
    <row r="29" spans="1:6" ht="12.5" x14ac:dyDescent="0.25">
      <c r="A29" s="6" t="s">
        <v>42</v>
      </c>
      <c r="B29" s="6"/>
      <c r="C29" s="6"/>
      <c r="D29" s="124">
        <f>Inputs!C29</f>
        <v>45173.144230769234</v>
      </c>
      <c r="E29" s="125"/>
    </row>
    <row r="30" spans="1:6" ht="12.5" x14ac:dyDescent="0.25">
      <c r="A30" s="6" t="s">
        <v>11</v>
      </c>
      <c r="B30" s="6"/>
      <c r="C30" s="6"/>
      <c r="D30" s="124">
        <f>Inputs!C30</f>
        <v>46999</v>
      </c>
      <c r="E30" s="125"/>
    </row>
    <row r="31" spans="1:6" ht="12.5" x14ac:dyDescent="0.25">
      <c r="A31" s="6"/>
      <c r="B31" s="6"/>
      <c r="C31" s="6"/>
      <c r="D31" s="6"/>
      <c r="E31" s="8"/>
    </row>
    <row r="32" spans="1:6" ht="13" x14ac:dyDescent="0.25">
      <c r="A32" s="90" t="s">
        <v>108</v>
      </c>
      <c r="B32" s="90"/>
      <c r="C32" s="90"/>
      <c r="D32" s="90"/>
      <c r="E32" s="98"/>
      <c r="F32" s="92"/>
    </row>
    <row r="33" spans="1:6" ht="12.5" x14ac:dyDescent="0.25">
      <c r="A33" s="6" t="s">
        <v>5</v>
      </c>
      <c r="B33" s="6"/>
      <c r="C33" s="6"/>
      <c r="D33" s="130">
        <f>IF(Inputs!C15&lt;Inputs!C32,"Error: Below minimum",IF(Inputs!C15&gt;Inputs!C33,"Error: Above maximum",Inputs!C15))</f>
        <v>100000</v>
      </c>
      <c r="E33" s="131"/>
    </row>
    <row r="34" spans="1:6" ht="12.5" x14ac:dyDescent="0.25">
      <c r="A34" s="6" t="s">
        <v>76</v>
      </c>
      <c r="B34" s="6"/>
      <c r="C34" s="6"/>
      <c r="D34" s="132">
        <f>ROUND(Inputs!C37,4)</f>
        <v>7.1999999999999995E-2</v>
      </c>
      <c r="E34" s="133"/>
    </row>
    <row r="35" spans="1:6" ht="12.5" x14ac:dyDescent="0.25">
      <c r="A35" s="6" t="s">
        <v>133</v>
      </c>
      <c r="B35" s="6"/>
      <c r="C35" s="6"/>
      <c r="D35" s="130">
        <f>ROUND(D33*(1+D34)^5,2)</f>
        <v>141570.88</v>
      </c>
      <c r="E35" s="131"/>
    </row>
    <row r="36" spans="1:6" ht="13" x14ac:dyDescent="0.25">
      <c r="A36" s="4"/>
      <c r="B36" s="4"/>
      <c r="C36" s="4"/>
      <c r="D36" s="4"/>
      <c r="E36" s="8"/>
    </row>
    <row r="37" spans="1:6" ht="13" x14ac:dyDescent="0.25">
      <c r="A37" s="90" t="s">
        <v>109</v>
      </c>
      <c r="B37" s="90"/>
      <c r="C37" s="90"/>
      <c r="D37" s="90"/>
      <c r="E37" s="98"/>
      <c r="F37" s="92"/>
    </row>
    <row r="38" spans="1:6" ht="12.5" x14ac:dyDescent="0.25">
      <c r="A38" s="6" t="s">
        <v>77</v>
      </c>
      <c r="B38" s="6"/>
      <c r="C38" s="6"/>
      <c r="D38" s="132">
        <f>IF(Inputs!C16&lt;0%,"Error: minimum is 0%",IF(Inputs!C16&gt;3%,"Error: above maximum",Inputs!C16))</f>
        <v>2.5000000000000001E-2</v>
      </c>
      <c r="E38" s="133"/>
    </row>
    <row r="39" spans="1:6" ht="12.5" x14ac:dyDescent="0.25">
      <c r="A39" s="6" t="s">
        <v>78</v>
      </c>
      <c r="B39" s="6"/>
      <c r="C39" s="6"/>
      <c r="D39" s="130">
        <f>ROUND(D38*D33,2)</f>
        <v>2500</v>
      </c>
      <c r="E39" s="131"/>
    </row>
    <row r="40" spans="1:6" ht="12.5" x14ac:dyDescent="0.25">
      <c r="A40" s="6" t="s">
        <v>134</v>
      </c>
      <c r="B40" s="6"/>
      <c r="C40" s="6"/>
      <c r="D40" s="134">
        <f>Inputs!C16+Inputs!C34</f>
        <v>9.6000000000000002E-2</v>
      </c>
      <c r="E40" s="135"/>
    </row>
    <row r="41" spans="1:6" ht="13" x14ac:dyDescent="0.25">
      <c r="A41" s="4"/>
      <c r="B41" s="4"/>
      <c r="C41" s="4"/>
      <c r="D41" s="4"/>
    </row>
    <row r="42" spans="1:6" ht="13" x14ac:dyDescent="0.25">
      <c r="A42" s="90" t="s">
        <v>105</v>
      </c>
      <c r="B42" s="90"/>
      <c r="C42" s="90"/>
      <c r="D42" s="90"/>
      <c r="E42" s="92"/>
      <c r="F42" s="92"/>
    </row>
    <row r="43" spans="1:6" ht="13" x14ac:dyDescent="0.25">
      <c r="A43" s="4"/>
      <c r="B43" s="4"/>
      <c r="C43" s="4"/>
      <c r="D43" s="4"/>
    </row>
    <row r="44" spans="1:6" ht="52.5" customHeight="1" x14ac:dyDescent="0.25">
      <c r="A44" s="123" t="s">
        <v>106</v>
      </c>
      <c r="B44" s="123"/>
      <c r="C44" s="123"/>
      <c r="D44" s="123"/>
      <c r="E44" s="123"/>
    </row>
    <row r="45" spans="1:6" ht="12.5" x14ac:dyDescent="0.25">
      <c r="A45" s="6" t="s">
        <v>43</v>
      </c>
      <c r="B45" s="6"/>
      <c r="C45" s="6"/>
    </row>
    <row r="46" spans="1:6" s="11" customFormat="1" ht="13" x14ac:dyDescent="0.25">
      <c r="A46" s="119" t="s">
        <v>44</v>
      </c>
      <c r="B46" s="122"/>
      <c r="C46" s="9" t="s">
        <v>45</v>
      </c>
      <c r="D46" s="9" t="s">
        <v>46</v>
      </c>
      <c r="E46" s="9" t="s">
        <v>47</v>
      </c>
      <c r="F46" s="10"/>
    </row>
    <row r="47" spans="1:6" ht="15" x14ac:dyDescent="0.25">
      <c r="A47" s="116" t="s">
        <v>125</v>
      </c>
      <c r="B47" s="121"/>
      <c r="C47" s="12">
        <f>Inputs!D94-Inputs!B94</f>
        <v>0</v>
      </c>
      <c r="D47" s="12">
        <f>C47</f>
        <v>0</v>
      </c>
      <c r="E47" s="12">
        <f>D47</f>
        <v>0</v>
      </c>
      <c r="F47" s="13"/>
    </row>
    <row r="48" spans="1:6" ht="15" x14ac:dyDescent="0.25">
      <c r="A48" s="120" t="s">
        <v>126</v>
      </c>
      <c r="B48" s="118"/>
      <c r="C48" s="12">
        <f>D38*1.15</f>
        <v>2.8749999999999998E-2</v>
      </c>
      <c r="D48" s="12">
        <v>0</v>
      </c>
      <c r="E48" s="12">
        <v>0</v>
      </c>
      <c r="F48" s="13"/>
    </row>
    <row r="49" spans="1:6" ht="15" x14ac:dyDescent="0.25">
      <c r="A49" s="116" t="s">
        <v>127</v>
      </c>
      <c r="B49" s="121"/>
      <c r="C49" s="12">
        <f>Inputs!B78</f>
        <v>1.7249999999999998E-2</v>
      </c>
      <c r="D49" s="12">
        <v>0</v>
      </c>
      <c r="E49" s="12">
        <v>0</v>
      </c>
      <c r="F49" s="13"/>
    </row>
    <row r="50" spans="1:6" ht="15" customHeight="1" x14ac:dyDescent="0.25">
      <c r="A50" s="116" t="s">
        <v>128</v>
      </c>
      <c r="B50" s="118"/>
      <c r="C50" s="12">
        <f>Inputs!B79</f>
        <v>5.6000000000000001E-2</v>
      </c>
      <c r="D50" s="12">
        <v>0</v>
      </c>
      <c r="E50" s="12">
        <v>0</v>
      </c>
      <c r="F50" s="14"/>
    </row>
    <row r="51" spans="1:6" ht="15.75" customHeight="1" x14ac:dyDescent="0.25">
      <c r="A51" s="116"/>
      <c r="B51" s="121"/>
      <c r="C51" s="12"/>
      <c r="D51" s="12"/>
      <c r="E51" s="12"/>
      <c r="F51" s="14"/>
    </row>
    <row r="52" spans="1:6" ht="13" x14ac:dyDescent="0.25">
      <c r="A52" s="117" t="s">
        <v>48</v>
      </c>
      <c r="B52" s="121"/>
      <c r="C52" s="12">
        <f>SUM(C47:C50)</f>
        <v>0.10200000000000001</v>
      </c>
      <c r="D52" s="15">
        <f t="shared" ref="D52:E52" si="0">SUM(D47:D50)</f>
        <v>0</v>
      </c>
      <c r="E52" s="12">
        <f t="shared" si="0"/>
        <v>0</v>
      </c>
      <c r="F52" s="16"/>
    </row>
    <row r="53" spans="1:6" ht="12.5" x14ac:dyDescent="0.25">
      <c r="A53" s="17"/>
      <c r="B53" s="6"/>
      <c r="C53" s="17"/>
      <c r="D53" s="18"/>
    </row>
    <row r="54" spans="1:6" ht="25" customHeight="1" x14ac:dyDescent="0.25">
      <c r="A54" s="127" t="s">
        <v>129</v>
      </c>
      <c r="B54" s="127"/>
      <c r="C54" s="127"/>
      <c r="D54" s="127"/>
      <c r="E54" s="127"/>
    </row>
    <row r="55" spans="1:6" ht="12.5" x14ac:dyDescent="0.25">
      <c r="A55" s="127" t="s">
        <v>132</v>
      </c>
      <c r="B55" s="127"/>
      <c r="C55" s="127"/>
      <c r="D55" s="127"/>
      <c r="E55" s="127"/>
    </row>
    <row r="56" spans="1:6" ht="12.5" x14ac:dyDescent="0.25">
      <c r="A56" s="127" t="s">
        <v>130</v>
      </c>
      <c r="B56" s="127"/>
      <c r="C56" s="127"/>
      <c r="D56" s="127"/>
      <c r="E56" s="127"/>
    </row>
    <row r="57" spans="1:6" ht="12.5" x14ac:dyDescent="0.25">
      <c r="A57" s="137" t="s">
        <v>131</v>
      </c>
      <c r="B57" s="127"/>
      <c r="C57" s="127"/>
      <c r="D57" s="127"/>
      <c r="E57" s="127"/>
    </row>
    <row r="58" spans="1:6" ht="51" customHeight="1" x14ac:dyDescent="0.25">
      <c r="A58" s="127" t="s">
        <v>79</v>
      </c>
      <c r="B58" s="127"/>
      <c r="C58" s="127"/>
      <c r="D58" s="127"/>
      <c r="E58" s="127"/>
    </row>
    <row r="59" spans="1:6" ht="17.149999999999999" customHeight="1" x14ac:dyDescent="0.25">
      <c r="A59" s="126" t="s">
        <v>80</v>
      </c>
      <c r="B59" s="126"/>
      <c r="C59" s="126"/>
      <c r="D59" s="126"/>
      <c r="E59" s="126"/>
    </row>
    <row r="60" spans="1:6" ht="13" x14ac:dyDescent="0.25">
      <c r="A60" s="6"/>
      <c r="B60" s="6"/>
      <c r="C60" s="6"/>
      <c r="E60" s="19" t="s">
        <v>49</v>
      </c>
    </row>
    <row r="61" spans="1:6" ht="13" x14ac:dyDescent="0.25">
      <c r="A61" s="6"/>
      <c r="B61" s="6"/>
      <c r="C61" s="6"/>
      <c r="E61" s="99"/>
    </row>
    <row r="62" spans="1:6" ht="13" x14ac:dyDescent="0.3">
      <c r="A62" s="136" t="s">
        <v>110</v>
      </c>
      <c r="B62" s="136"/>
      <c r="C62" s="136"/>
      <c r="D62" s="136"/>
      <c r="E62" s="136"/>
      <c r="F62" s="92"/>
    </row>
    <row r="63" spans="1:6" ht="36" customHeight="1" x14ac:dyDescent="0.25">
      <c r="A63" s="126" t="s">
        <v>50</v>
      </c>
      <c r="B63" s="126"/>
      <c r="C63" s="126"/>
      <c r="D63" s="126"/>
      <c r="E63" s="126"/>
    </row>
    <row r="64" spans="1:6" ht="38.5" customHeight="1" x14ac:dyDescent="0.25">
      <c r="A64" s="126" t="s">
        <v>51</v>
      </c>
      <c r="B64" s="126"/>
      <c r="C64" s="126"/>
      <c r="D64" s="126"/>
      <c r="E64" s="126"/>
    </row>
    <row r="65" spans="1:6" ht="32.15" customHeight="1" x14ac:dyDescent="0.25">
      <c r="A65" s="126" t="s">
        <v>81</v>
      </c>
      <c r="B65" s="126"/>
      <c r="C65" s="126"/>
      <c r="D65" s="126"/>
      <c r="E65" s="126"/>
    </row>
    <row r="66" spans="1:6" ht="22" customHeight="1" x14ac:dyDescent="0.25">
      <c r="A66" s="126" t="s">
        <v>82</v>
      </c>
      <c r="B66" s="126"/>
      <c r="C66" s="126"/>
      <c r="D66" s="126"/>
      <c r="E66" s="126"/>
    </row>
    <row r="67" spans="1:6" ht="25" customHeight="1" x14ac:dyDescent="0.25">
      <c r="A67" s="126" t="s">
        <v>111</v>
      </c>
      <c r="B67" s="126"/>
      <c r="C67" s="126"/>
      <c r="D67" s="126"/>
      <c r="E67" s="126"/>
    </row>
    <row r="68" spans="1:6" ht="37.5" customHeight="1" x14ac:dyDescent="0.25">
      <c r="A68" s="126" t="s">
        <v>83</v>
      </c>
      <c r="B68" s="126"/>
      <c r="C68" s="126"/>
      <c r="D68" s="126"/>
      <c r="E68" s="126"/>
    </row>
    <row r="69" spans="1:6" ht="52" customHeight="1" x14ac:dyDescent="0.25">
      <c r="A69" s="126" t="s">
        <v>84</v>
      </c>
      <c r="B69" s="126"/>
      <c r="C69" s="126"/>
      <c r="D69" s="126"/>
      <c r="E69" s="126"/>
    </row>
    <row r="70" spans="1:6" ht="50.25" customHeight="1" x14ac:dyDescent="0.25">
      <c r="A70" s="126" t="s">
        <v>52</v>
      </c>
      <c r="B70" s="126"/>
      <c r="C70" s="126"/>
      <c r="D70" s="126"/>
      <c r="E70" s="126"/>
    </row>
    <row r="71" spans="1:6" ht="12.5" x14ac:dyDescent="0.25">
      <c r="A71" s="5"/>
      <c r="B71" s="5"/>
      <c r="C71" s="5"/>
      <c r="D71" s="5"/>
      <c r="E71" s="5"/>
    </row>
    <row r="72" spans="1:6" ht="13" x14ac:dyDescent="0.25">
      <c r="A72" s="90" t="s">
        <v>97</v>
      </c>
      <c r="B72" s="91"/>
      <c r="C72" s="91"/>
      <c r="D72" s="92"/>
      <c r="E72" s="92"/>
      <c r="F72" s="92"/>
    </row>
    <row r="73" spans="1:6" ht="12.5" x14ac:dyDescent="0.25">
      <c r="A73" s="6"/>
      <c r="B73" s="6"/>
      <c r="C73" s="6"/>
    </row>
    <row r="74" spans="1:6" ht="12.5" x14ac:dyDescent="0.25">
      <c r="A74" s="6" t="s">
        <v>102</v>
      </c>
      <c r="B74" s="6"/>
      <c r="C74" s="6"/>
    </row>
    <row r="75" spans="1:6" ht="12.5" x14ac:dyDescent="0.25">
      <c r="A75" s="6"/>
      <c r="B75" s="6"/>
      <c r="C75" s="6"/>
    </row>
    <row r="76" spans="1:6" ht="12.5" x14ac:dyDescent="0.25">
      <c r="A76" s="6"/>
      <c r="B76" s="6"/>
      <c r="C76" s="6"/>
    </row>
    <row r="77" spans="1:6" ht="12.5" x14ac:dyDescent="0.25">
      <c r="A77" s="6"/>
      <c r="B77" s="6"/>
      <c r="C77" s="6"/>
    </row>
    <row r="78" spans="1:6" ht="12.5" x14ac:dyDescent="0.25">
      <c r="A78" s="6"/>
      <c r="B78" s="6"/>
      <c r="C78" s="6"/>
    </row>
    <row r="79" spans="1:6" ht="12.5" x14ac:dyDescent="0.25">
      <c r="A79" s="96"/>
      <c r="B79" s="6"/>
      <c r="C79" s="6"/>
    </row>
    <row r="80" spans="1:6" ht="12.5" x14ac:dyDescent="0.25">
      <c r="A80" s="2" t="s">
        <v>98</v>
      </c>
    </row>
    <row r="81" spans="1:6" ht="12.5" x14ac:dyDescent="0.25"/>
    <row r="82" spans="1:6" ht="12.5" x14ac:dyDescent="0.25"/>
    <row r="83" spans="1:6" ht="12.5" x14ac:dyDescent="0.25">
      <c r="A83" s="2" t="s">
        <v>101</v>
      </c>
    </row>
    <row r="84" spans="1:6" ht="12.5" x14ac:dyDescent="0.25"/>
    <row r="85" spans="1:6" ht="12.5" x14ac:dyDescent="0.25"/>
    <row r="86" spans="1:6" ht="12.5" x14ac:dyDescent="0.25"/>
    <row r="87" spans="1:6" ht="12.5" x14ac:dyDescent="0.25"/>
    <row r="88" spans="1:6" ht="12.5" x14ac:dyDescent="0.25">
      <c r="A88" s="95"/>
    </row>
    <row r="89" spans="1:6" ht="12.5" x14ac:dyDescent="0.25">
      <c r="A89" s="2" t="s">
        <v>100</v>
      </c>
    </row>
    <row r="90" spans="1:6" ht="0" hidden="1" customHeight="1" x14ac:dyDescent="0.25">
      <c r="A90" s="2" t="s">
        <v>99</v>
      </c>
    </row>
    <row r="91" spans="1:6" ht="12.5" x14ac:dyDescent="0.25">
      <c r="A91" s="6"/>
      <c r="B91" s="6"/>
      <c r="C91" s="6"/>
    </row>
    <row r="92" spans="1:6" ht="14.5" customHeight="1" x14ac:dyDescent="0.25"/>
    <row r="93" spans="1:6" ht="14.5" customHeight="1" x14ac:dyDescent="0.25">
      <c r="A93" s="2" t="s">
        <v>101</v>
      </c>
    </row>
    <row r="94" spans="1:6" ht="14.5" customHeight="1" x14ac:dyDescent="0.25"/>
    <row r="95" spans="1:6" ht="14.5" customHeight="1" x14ac:dyDescent="0.3">
      <c r="A95" s="100" t="s">
        <v>103</v>
      </c>
      <c r="B95" s="92"/>
      <c r="C95" s="92"/>
      <c r="D95" s="92"/>
      <c r="E95" s="92"/>
      <c r="F95" s="92"/>
    </row>
    <row r="96" spans="1:6" ht="157" customHeight="1" x14ac:dyDescent="0.25">
      <c r="A96" s="123" t="s">
        <v>104</v>
      </c>
      <c r="B96" s="123"/>
      <c r="C96" s="123"/>
      <c r="D96" s="123"/>
      <c r="E96" s="123"/>
    </row>
    <row r="97" spans="1:6" ht="12.5" x14ac:dyDescent="0.25">
      <c r="A97" s="97"/>
      <c r="B97" s="97"/>
      <c r="C97" s="97"/>
      <c r="D97" s="97"/>
      <c r="E97" s="97"/>
    </row>
    <row r="98" spans="1:6" ht="13" x14ac:dyDescent="0.3">
      <c r="A98" s="93" t="s">
        <v>90</v>
      </c>
      <c r="B98" s="94"/>
      <c r="C98" s="94"/>
      <c r="D98" s="94"/>
      <c r="E98" s="94"/>
      <c r="F98" s="92"/>
    </row>
    <row r="99" spans="1:6" ht="12.5" x14ac:dyDescent="0.25">
      <c r="A99" s="5"/>
      <c r="B99" s="5"/>
      <c r="C99" s="5"/>
      <c r="D99" s="5"/>
      <c r="E99" s="5"/>
    </row>
    <row r="100" spans="1:6" ht="12.5" x14ac:dyDescent="0.25">
      <c r="A100" s="5" t="s">
        <v>91</v>
      </c>
      <c r="B100" s="5"/>
      <c r="C100" s="5"/>
      <c r="D100" s="5"/>
      <c r="E100" s="5"/>
    </row>
    <row r="101" spans="1:6" ht="12.5" x14ac:dyDescent="0.25">
      <c r="A101" s="5"/>
      <c r="B101" s="5"/>
      <c r="C101" s="5"/>
      <c r="D101" s="5"/>
      <c r="E101" s="5"/>
    </row>
    <row r="102" spans="1:6" ht="13" x14ac:dyDescent="0.3">
      <c r="A102" s="35" t="s">
        <v>92</v>
      </c>
      <c r="B102" s="5"/>
      <c r="C102" s="5"/>
      <c r="D102" s="5"/>
      <c r="E102" s="5"/>
    </row>
    <row r="103" spans="1:6" ht="12.5" x14ac:dyDescent="0.25">
      <c r="A103" s="5"/>
      <c r="B103" s="5"/>
      <c r="C103" s="5"/>
      <c r="D103" s="5"/>
      <c r="E103" s="5"/>
    </row>
    <row r="104" spans="1:6" ht="12.5" x14ac:dyDescent="0.25">
      <c r="A104" s="5" t="s">
        <v>93</v>
      </c>
      <c r="B104" s="5"/>
      <c r="C104" s="5"/>
      <c r="D104" s="5"/>
      <c r="E104" s="5"/>
    </row>
    <row r="105" spans="1:6" ht="12.5" x14ac:dyDescent="0.25">
      <c r="A105" s="5"/>
      <c r="B105" s="5"/>
      <c r="C105" s="5"/>
      <c r="D105" s="5"/>
      <c r="E105" s="5"/>
    </row>
    <row r="106" spans="1:6" ht="13" x14ac:dyDescent="0.3">
      <c r="A106" s="35" t="s">
        <v>94</v>
      </c>
      <c r="B106" s="5"/>
      <c r="C106" s="5"/>
      <c r="D106" s="5"/>
      <c r="E106" s="5"/>
    </row>
    <row r="107" spans="1:6" ht="14.5" customHeight="1" x14ac:dyDescent="0.25"/>
    <row r="108" spans="1:6" ht="14.5" customHeight="1" x14ac:dyDescent="0.25"/>
  </sheetData>
  <sheetProtection algorithmName="SHA-512" hashValue="djzVhfKKBWCfzxxQvmr5koJKcVny0Rn46yJfFyPkyfzk+aG0bTys7sZDNbnv5y9A8n1UVOXSgbtFrdNO71THIw==" saltValue="kYvF8OQDU5pSXy3pte1r3Q==" spinCount="100000" sheet="1" objects="1" scenarios="1"/>
  <mergeCells count="35">
    <mergeCell ref="A69:E69"/>
    <mergeCell ref="A70:E70"/>
    <mergeCell ref="A54:E54"/>
    <mergeCell ref="A55:E55"/>
    <mergeCell ref="A56:E56"/>
    <mergeCell ref="A58:E58"/>
    <mergeCell ref="A68:E68"/>
    <mergeCell ref="A62:E62"/>
    <mergeCell ref="A63:E63"/>
    <mergeCell ref="A64:E64"/>
    <mergeCell ref="A65:E65"/>
    <mergeCell ref="A66:E66"/>
    <mergeCell ref="A67:E67"/>
    <mergeCell ref="A57:E57"/>
    <mergeCell ref="D34:E34"/>
    <mergeCell ref="D35:E35"/>
    <mergeCell ref="D38:E38"/>
    <mergeCell ref="D39:E39"/>
    <mergeCell ref="D40:E40"/>
    <mergeCell ref="A96:E96"/>
    <mergeCell ref="A44:E44"/>
    <mergeCell ref="D30:E30"/>
    <mergeCell ref="A11:E11"/>
    <mergeCell ref="A13:E13"/>
    <mergeCell ref="A14:E14"/>
    <mergeCell ref="A18:E18"/>
    <mergeCell ref="D21:E21"/>
    <mergeCell ref="D22:E22"/>
    <mergeCell ref="D23:E23"/>
    <mergeCell ref="D24:E24"/>
    <mergeCell ref="D25:E25"/>
    <mergeCell ref="D28:E28"/>
    <mergeCell ref="D29:E29"/>
    <mergeCell ref="A59:E59"/>
    <mergeCell ref="D33:E33"/>
  </mergeCells>
  <pageMargins left="0.7" right="0.7" top="0.75" bottom="0.75" header="0.3" footer="0.3"/>
  <pageSetup scale="55" orientation="portrait"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Quote</vt:lpstr>
      <vt:lpstr>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Heinrich Wessels</dc:creator>
  <cp:lastModifiedBy>Heinrich Wessels</cp:lastModifiedBy>
  <cp:lastPrinted>2023-07-03T11:16:07Z</cp:lastPrinted>
  <dcterms:created xsi:type="dcterms:W3CDTF">2023-06-26T01:52:59Z</dcterms:created>
  <dcterms:modified xsi:type="dcterms:W3CDTF">2023-07-31T10:41:43Z</dcterms:modified>
</cp:coreProperties>
</file>