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Y:\Jhb\Index&amp;StructuredSolutions\1. Structured Products\2025\On-Shelf Notes\2025-05-Global Growth Basket-Issue 90 (Wrapped)\Finals\"/>
    </mc:Choice>
  </mc:AlternateContent>
  <xr:revisionPtr revIDLastSave="0" documentId="13_ncr:1_{7FD38A32-06FF-42D5-9B29-D54E0FC5576E}" xr6:coauthVersionLast="47" xr6:coauthVersionMax="47" xr10:uidLastSave="{00000000-0000-0000-0000-000000000000}"/>
  <workbookProtection workbookAlgorithmName="SHA-512" workbookHashValue="tY7oIpS50/Q2eQgckNK2yXCriPQDGwDIC5z/MCXZuSBAZhCoeP6KxgmuvW8fwjg1w6FHz51/QVVCDCsxh1Oy3g==" workbookSaltValue="7PXmaN/JWH3CtgqZXVWtoA==" workbookSpinCount="100000" lockStructure="1"/>
  <bookViews>
    <workbookView xWindow="-92" yWindow="0" windowWidth="11243" windowHeight="11831" activeTab="1" xr2:uid="{00000000-000D-0000-FFFF-FFFF00000000}"/>
  </bookViews>
  <sheets>
    <sheet name="Input" sheetId="2" r:id="rId1"/>
    <sheet name="Output" sheetId="1" r:id="rId2"/>
  </sheets>
  <definedNames>
    <definedName name="_xlnm.Print_Area" localSheetId="1">Output!$A$1:$H$123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2" l="1"/>
  <c r="E29" i="2"/>
  <c r="C56" i="1" l="1"/>
  <c r="C46" i="1" l="1"/>
  <c r="K19" i="1" l="1"/>
  <c r="M3" i="2"/>
  <c r="M4" i="2" s="1"/>
  <c r="G41" i="1" l="1"/>
  <c r="G43" i="1" s="1"/>
  <c r="G47" i="1" s="1"/>
  <c r="G48" i="1" s="1"/>
  <c r="G27" i="1"/>
  <c r="G28" i="1" s="1"/>
  <c r="G40" i="1"/>
  <c r="G21" i="1" l="1"/>
  <c r="G31" i="1"/>
  <c r="G35" i="1" s="1"/>
  <c r="G38" i="1" l="1"/>
  <c r="C95" i="1"/>
  <c r="G44" i="1"/>
  <c r="C41" i="1"/>
  <c r="C40" i="1"/>
  <c r="G39" i="1" l="1"/>
  <c r="G22" i="1"/>
  <c r="G117" i="1"/>
  <c r="G116" i="1"/>
  <c r="F117" i="1"/>
  <c r="F116" i="1"/>
  <c r="E117" i="1"/>
  <c r="E116" i="1"/>
  <c r="D117" i="1"/>
  <c r="D116" i="1"/>
  <c r="C94" i="1"/>
  <c r="F70" i="1"/>
  <c r="F69" i="1"/>
  <c r="D70" i="1"/>
  <c r="D69" i="1"/>
  <c r="G42" i="1"/>
  <c r="G26" i="1"/>
  <c r="G25" i="1"/>
  <c r="G18" i="1"/>
  <c r="G20" i="1"/>
  <c r="G19" i="1"/>
  <c r="B8" i="2"/>
  <c r="D39" i="2"/>
  <c r="F71" i="1" s="1"/>
  <c r="G115" i="1"/>
  <c r="E6" i="2"/>
  <c r="G17" i="1" s="1"/>
  <c r="C109" i="1"/>
  <c r="C108" i="1"/>
  <c r="C107" i="1"/>
  <c r="C106" i="1"/>
  <c r="C98" i="1"/>
  <c r="C97" i="1"/>
  <c r="C96" i="1"/>
  <c r="G37" i="1"/>
  <c r="J19" i="1"/>
  <c r="K15" i="1"/>
  <c r="C14" i="1"/>
  <c r="F115" i="1" l="1"/>
  <c r="F118" i="1" s="1"/>
  <c r="D71" i="1"/>
  <c r="E115" i="1"/>
  <c r="E118" i="1" s="1"/>
  <c r="D115" i="1"/>
  <c r="D118" i="1" s="1"/>
  <c r="G118" i="1"/>
  <c r="C66" i="1" l="1"/>
  <c r="G36" i="1" l="1"/>
</calcChain>
</file>

<file path=xl/sharedStrings.xml><?xml version="1.0" encoding="utf-8"?>
<sst xmlns="http://schemas.openxmlformats.org/spreadsheetml/2006/main" count="154" uniqueCount="141">
  <si>
    <t>Index Growth List</t>
  </si>
  <si>
    <t>FX List</t>
  </si>
  <si>
    <t>Open Date</t>
  </si>
  <si>
    <t>Index Growth</t>
  </si>
  <si>
    <t>Foreign Exchange Rate Movement</t>
  </si>
  <si>
    <t>Close Date</t>
  </si>
  <si>
    <t>Minimum Investment Amount</t>
  </si>
  <si>
    <t>1Y Income Tax</t>
  </si>
  <si>
    <t>Reference Index</t>
  </si>
  <si>
    <t>Life Company CGT</t>
  </si>
  <si>
    <t>Life Company Hurdle</t>
  </si>
  <si>
    <t>Product Summary</t>
  </si>
  <si>
    <t>Coupon</t>
  </si>
  <si>
    <t>Client Details</t>
  </si>
  <si>
    <t>CGT</t>
  </si>
  <si>
    <t>Date of Quotation:</t>
  </si>
  <si>
    <t>Investor's Name:</t>
  </si>
  <si>
    <t>Date of Birth:</t>
  </si>
  <si>
    <t>Investment Term:</t>
  </si>
  <si>
    <t>Investment Start Date:</t>
  </si>
  <si>
    <t>Maturity Date:</t>
  </si>
  <si>
    <t>Financial Adviser Details</t>
  </si>
  <si>
    <t xml:space="preserve">Financial Adviser: </t>
  </si>
  <si>
    <t>Financial Services Provider:</t>
  </si>
  <si>
    <t>Commission (%) plus VAT:</t>
  </si>
  <si>
    <t>Commission (R):</t>
  </si>
  <si>
    <t>Investment Details</t>
  </si>
  <si>
    <t>Investment Amount</t>
  </si>
  <si>
    <t>Net Investment Amount</t>
  </si>
  <si>
    <t>Maturity Date</t>
  </si>
  <si>
    <t>5 Year Equity Linked Leg</t>
  </si>
  <si>
    <t>Capital Return at Maturity</t>
  </si>
  <si>
    <t>Initial Index Level Date</t>
  </si>
  <si>
    <t>Index Linked Return**</t>
  </si>
  <si>
    <t xml:space="preserve">Index Growth </t>
  </si>
  <si>
    <t>Important Notes</t>
  </si>
  <si>
    <t>This quote output should be read together with the product brochure.</t>
  </si>
  <si>
    <t>Product Charges</t>
  </si>
  <si>
    <t>Fee (Incl Vat)</t>
  </si>
  <si>
    <t>Payable to?</t>
  </si>
  <si>
    <t>How it is deducted?</t>
  </si>
  <si>
    <t>Policy fee</t>
  </si>
  <si>
    <t>Policy administration</t>
  </si>
  <si>
    <t>Commission</t>
  </si>
  <si>
    <t>Financial Adviser for the financial advice provided to client.</t>
  </si>
  <si>
    <t>What happens if you surrender your policy?</t>
  </si>
  <si>
    <t xml:space="preserve">One full surrender per policy is allowed within the first 5 years.  Your surrender value will be restricted to the value of the premium accumulated at 5% p.a. within the initial 5 year period. Any balance between the surrender value and the actual market value will only become available after the first 5 years, provided the balance is more than R2 500, otherwise the policy will be surrendered in full. </t>
  </si>
  <si>
    <t>Death Claim Value</t>
  </si>
  <si>
    <t>Upon the death of the last surviving life assured before the maturity date, the death benefit payable under the policy will be the net market value (i.e. net of tax) of the investment instruments which comprise the policy.</t>
  </si>
  <si>
    <t>The Effect of Inflation</t>
  </si>
  <si>
    <t>Inflation has a large impact on investment returns, and real rates of return (the excess of the investment return over the inflation rate) give a more meaningful indication of how the investment has performed.</t>
  </si>
  <si>
    <t>The Effect of Taxation</t>
  </si>
  <si>
    <t>How to enquire on your investment?</t>
  </si>
  <si>
    <t>Business rules applying to your investment</t>
  </si>
  <si>
    <t>Cooling Off Period</t>
  </si>
  <si>
    <t>Replacing an Existing Investment</t>
  </si>
  <si>
    <t>If this investment is intended to replace another investment it is important to discuss the implications thereof with your Financial Adviser.</t>
  </si>
  <si>
    <t>Such implications may include:</t>
  </si>
  <si>
    <t>Effective Annual Cost Summary</t>
  </si>
  <si>
    <t>The Effective Annual Cost (EAC) is a measure which has been introduced to allow you to compare the cost you incur when you invest in different financial products. It is expressed as a percentage of your investment amount.  The EAC is made up of four charges, which are added together, as shown in the table below.  Some of the charges may vary, depending on your investment period.  The EAC calculation assumes that an investor terminates his or her investment in the financial product at the end of the relevant periods shown in the table.</t>
  </si>
  <si>
    <t>Charges</t>
  </si>
  <si>
    <t>1 Year</t>
  </si>
  <si>
    <t>3 Years</t>
  </si>
  <si>
    <t>5 Years</t>
  </si>
  <si>
    <t>Term to Maturity</t>
  </si>
  <si>
    <t>Advice</t>
  </si>
  <si>
    <t>Administration</t>
  </si>
  <si>
    <t>Insurer</t>
  </si>
  <si>
    <t>Effective Annual Cost</t>
  </si>
  <si>
    <t>a) Advice charge comprises the Initial Advice fee which is levied upfront as a percentage of the investment amount.</t>
  </si>
  <si>
    <t>c) Should a client decide to cede the policy, a once off cession fee of R570.00 per policy will be levied.</t>
  </si>
  <si>
    <t>d) All calculations include value-added tax (VAT) at the prevailing rate, where applicable.</t>
  </si>
  <si>
    <t>Title</t>
  </si>
  <si>
    <t>VAT %</t>
  </si>
  <si>
    <t>Mr</t>
  </si>
  <si>
    <t>Max Commission</t>
  </si>
  <si>
    <t>Miss</t>
  </si>
  <si>
    <t>Commision taken</t>
  </si>
  <si>
    <t>Data Input Sheet</t>
  </si>
  <si>
    <t>Ms</t>
  </si>
  <si>
    <t>Commission given up</t>
  </si>
  <si>
    <t>Mrs</t>
  </si>
  <si>
    <t>Quote Date</t>
  </si>
  <si>
    <t>Dr</t>
  </si>
  <si>
    <t>Prof</t>
  </si>
  <si>
    <t>The Hon</t>
  </si>
  <si>
    <t>Other</t>
  </si>
  <si>
    <t>Investor Details</t>
  </si>
  <si>
    <t>Name</t>
  </si>
  <si>
    <t>Surname</t>
  </si>
  <si>
    <t>VAT Vendor</t>
  </si>
  <si>
    <t>Date of Birth</t>
  </si>
  <si>
    <t>Yes</t>
  </si>
  <si>
    <t>No</t>
  </si>
  <si>
    <t>Financial Service Provider</t>
  </si>
  <si>
    <t>Vat Vendor</t>
  </si>
  <si>
    <t>Commission Fee (Exc VAT)</t>
  </si>
  <si>
    <t>Gross Investment Amount</t>
  </si>
  <si>
    <t>Net Investment Allocation</t>
  </si>
  <si>
    <t>Net Participation Rate</t>
  </si>
  <si>
    <t>Investment Start Date</t>
  </si>
  <si>
    <t>5 yrs Maturity Date</t>
  </si>
  <si>
    <t>Return on the Reference Index (Simple)</t>
  </si>
  <si>
    <t>Market Linked</t>
  </si>
  <si>
    <t>Policy Term (in years)</t>
  </si>
  <si>
    <t>Product Fees</t>
  </si>
  <si>
    <t>Entity</t>
  </si>
  <si>
    <t>Fee</t>
  </si>
  <si>
    <t>Life Company Fee</t>
  </si>
  <si>
    <t>Upfront as a percentage of the investment amount.</t>
  </si>
  <si>
    <t>Administration Fee</t>
  </si>
  <si>
    <t>Inclusive of VAT. Upfront as a percentage of the investment amount.</t>
  </si>
  <si>
    <t>Commission Fee</t>
  </si>
  <si>
    <t>Maximum Index Performance</t>
  </si>
  <si>
    <t>Participation Rate</t>
  </si>
  <si>
    <t xml:space="preserve"> BNP Paribas Multi-asset Global Diversified Index</t>
  </si>
  <si>
    <t>Absa Life for the issuance of the policy.</t>
  </si>
  <si>
    <t xml:space="preserve">Any amendment to South African tax legislation, which changes the tax status of the policy or the tax treatment thereof, may affect the surrender value and the protected maturity value. In such an event, Absa Life shall have the right to adjust the benefit payable under this policy resulting from any amendment to such tax legislation. </t>
  </si>
  <si>
    <t>You have a 37 calendar day cooling-off period from investment start date to notify us to cancel your policy should you decide to, provided no claim has been lodged or benefit paid under the policy.  We will return to you the fair market value of your investment plus all the fees that may have been deducted from your investment policy.  Due to the impact of market movements, the amount you get out may be less than the gross investment amount paid because any cancellation will be done at the prevailing fair market price of the underlying instrument to the policy.</t>
  </si>
  <si>
    <t>Glacier for the administration of the policy.</t>
  </si>
  <si>
    <t>2. Should the index performance be zero or less, then no Index Linked Return will be payable.</t>
  </si>
  <si>
    <t>3. In line with the current tax legislation, returns on the investment policy are taxed in the hands of the life company and the above Index Linked Returns are gross of tax. Absa Life is therefore required to pay tax on any income, dividends and capital gains tax at a rate which depends on the policyholder's classification for tax purposes.</t>
  </si>
  <si>
    <t>4. Multi-asset linked returns are taxable. Absa Life will calculate tax in accordance with the prevailing legislation.</t>
  </si>
  <si>
    <t>5. Should the policy be surrendered in full before the maturity date, the market value of assets underlying the policy will be payable.</t>
  </si>
  <si>
    <t>6. The maturity date of the policy will be five (5) years from the date on which the policy commences, as indicated in the schedule to the policy terms and conditions.</t>
  </si>
  <si>
    <t>7. Bank charges may apply on the transfer of the premium to Absa Life as well as on any amount paid by Absa Life respect of claims or commission.</t>
  </si>
  <si>
    <t>8. Should you require any further assistance and / or information, please contact your financial adviser.</t>
  </si>
  <si>
    <t>Depending on the type of policy, insurance companies pay different rates of tax on investment returns. The effective tax rates may also differ between insurance companies, based on their level of expenses. The proceeds from the Index Linked Return component taxed as capital gains in the hands of the life insurer.</t>
  </si>
  <si>
    <t xml:space="preserve">** This is a market linked return. The initial capital investment is protected only at the Maturity Date. </t>
  </si>
  <si>
    <t>BNP Paribas Multi-asset Global Diversified Index</t>
  </si>
  <si>
    <t>The Global Growth Basket Policy: Quote</t>
  </si>
  <si>
    <t>The Global Growth Basket Policy is underwritten by Absa Life Limited and administered by a LISP, both registered financial services providers.</t>
  </si>
  <si>
    <t>This quotation is for illustrative purposes only and should not be seen as a contract. Any application is subject to the acceptance procedures of Absa Life and a LISP. Please sign this document to indicate receipt of this quote.</t>
  </si>
  <si>
    <t>5 Year Maturity Value (Gross of tax)</t>
  </si>
  <si>
    <t>Please contact your financial adviser ora LISP if you have any queries or would like to redeem your investment.</t>
  </si>
  <si>
    <t xml:space="preserve">b) Administration fee and Investment Wrapper fee payable to the LISP and Absa Life and is paid upfront as a percentage of the investment amount. </t>
  </si>
  <si>
    <t xml:space="preserve">The Global Growth Basket </t>
  </si>
  <si>
    <t>5 Year Index Return (Gross) with FX</t>
  </si>
  <si>
    <t>5 Year Index Return (Gross)</t>
  </si>
  <si>
    <t>5 Year Maturity Value (Gross of tax) with FX</t>
  </si>
  <si>
    <t>The Investment is issued by Absa Bank Limited and made available to investors through a linked endowment policy in terms of the South African Long-Term Insuarance Act of 1998. For more information about the product features please refer to the product brochure.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</si>
</sst>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 #,##0_ ;_ * \-#,##0_ ;_ * &quot;-&quot;??_ ;_ @_ "/>
    <numFmt numFmtId="165" formatCode="_-[$R-1C09]* #,##0.00_-;\-[$R-1C09]* #,##0.00_-;_-[$R-1C09]* &quot;-&quot;??_-;_-@_-"/>
    <numFmt numFmtId="166" formatCode="dd\-mmm\-yyyy"/>
    <numFmt numFmtId="167" formatCode="[$-409]d\-mmm\-yyyy;@"/>
    <numFmt numFmtId="168" formatCode="[$-409]dd\-mmm\-yy;@"/>
    <numFmt numFmtId="169" formatCode="0.000%"/>
    <numFmt numFmtId="170" formatCode="[$R-1C09]\ #,##0.00"/>
    <numFmt numFmtId="171" formatCode="0.0%"/>
    <numFmt numFmtId="172" formatCode="0.00000%"/>
    <numFmt numFmtId="173" formatCode="dd/mmm/yyyy"/>
    <numFmt numFmtId="174" formatCode="_ &quot;R&quot;\ * #,##0.00_ ;_ &quot;R&quot;\ * \-#,##0.00_ ;_ &quot;R&quot;\ * &quot;-&quot;??_ ;_ @_ "/>
    <numFmt numFmtId="175" formatCode="dd/mmm/yyyy\,\ ddd"/>
    <numFmt numFmtId="176" formatCode="0.0000%"/>
  </numFmts>
  <fonts count="31" x14ac:knownFonts="1">
    <font>
      <sz val="11"/>
      <color theme="1"/>
      <name val="Calibri"/>
      <family val="2"/>
      <scheme val="minor"/>
    </font>
    <font>
      <sz val="11"/>
      <color theme="1"/>
      <name val="Calibri"/>
      <family val="2"/>
      <scheme val="minor"/>
    </font>
    <font>
      <sz val="11"/>
      <color theme="1"/>
      <name val="Arial"/>
      <family val="2"/>
    </font>
    <font>
      <sz val="8"/>
      <name val="Arial"/>
      <family val="2"/>
    </font>
    <font>
      <sz val="8"/>
      <color theme="1"/>
      <name val="Calibri"/>
      <family val="2"/>
      <scheme val="minor"/>
    </font>
    <font>
      <sz val="10"/>
      <color rgb="FF333333"/>
      <name val="Arial"/>
      <family val="2"/>
    </font>
    <font>
      <b/>
      <sz val="8"/>
      <color theme="0"/>
      <name val="Calibri"/>
      <family val="2"/>
      <scheme val="minor"/>
    </font>
    <font>
      <sz val="8"/>
      <color theme="0"/>
      <name val="Calibri"/>
      <family val="2"/>
      <scheme val="minor"/>
    </font>
    <font>
      <b/>
      <i/>
      <sz val="12"/>
      <color rgb="FF333333"/>
      <name val="Arial"/>
      <family val="2"/>
    </font>
    <font>
      <sz val="12"/>
      <color rgb="FF333333"/>
      <name val="Arial"/>
      <family val="2"/>
    </font>
    <font>
      <b/>
      <sz val="12"/>
      <color rgb="FF333333"/>
      <name val="Arial"/>
      <family val="2"/>
    </font>
    <font>
      <b/>
      <sz val="12"/>
      <color theme="0"/>
      <name val="Arial"/>
      <family val="2"/>
    </font>
    <font>
      <b/>
      <sz val="8"/>
      <name val="Arial"/>
      <family val="2"/>
    </font>
    <font>
      <b/>
      <sz val="12"/>
      <color rgb="FFDC0032"/>
      <name val="Arial"/>
      <family val="2"/>
    </font>
    <font>
      <b/>
      <sz val="10"/>
      <color rgb="FF333333"/>
      <name val="Arial"/>
      <family val="2"/>
    </font>
    <font>
      <sz val="12"/>
      <color theme="0"/>
      <name val="Arial"/>
      <family val="2"/>
    </font>
    <font>
      <sz val="9"/>
      <color rgb="FF333333"/>
      <name val="Arial"/>
      <family val="2"/>
    </font>
    <font>
      <b/>
      <sz val="10"/>
      <name val="Arial"/>
      <family val="2"/>
    </font>
    <font>
      <sz val="8"/>
      <name val="Calibri"/>
      <family val="2"/>
      <scheme val="minor"/>
    </font>
    <font>
      <b/>
      <sz val="8"/>
      <color theme="1"/>
      <name val="Calibri"/>
      <family val="2"/>
      <scheme val="minor"/>
    </font>
    <font>
      <sz val="10"/>
      <name val="Arial"/>
      <family val="2"/>
    </font>
    <font>
      <b/>
      <u/>
      <sz val="10"/>
      <name val="Arial"/>
      <family val="2"/>
    </font>
    <font>
      <b/>
      <sz val="12"/>
      <color theme="1"/>
      <name val="Arial"/>
      <family val="2"/>
    </font>
    <font>
      <b/>
      <sz val="12"/>
      <color rgb="FFBE0028"/>
      <name val="Arial"/>
      <family val="2"/>
    </font>
    <font>
      <b/>
      <sz val="10"/>
      <color rgb="FFBE0028"/>
      <name val="Arial"/>
      <family val="2"/>
    </font>
    <font>
      <sz val="10"/>
      <color rgb="FFBE0028"/>
      <name val="Arial"/>
      <family val="2"/>
    </font>
    <font>
      <b/>
      <sz val="14"/>
      <color rgb="FFBE0028"/>
      <name val="Arial"/>
      <family val="2"/>
    </font>
    <font>
      <sz val="12"/>
      <color rgb="FFDC0032"/>
      <name val="Arial"/>
      <family val="2"/>
    </font>
    <font>
      <sz val="12"/>
      <color rgb="FFBE0028"/>
      <name val="Arial"/>
      <family val="2"/>
    </font>
    <font>
      <sz val="12"/>
      <color theme="1"/>
      <name val="Arial"/>
      <family val="2"/>
    </font>
    <font>
      <b/>
      <sz val="8"/>
      <color theme="1"/>
      <name val="Arial"/>
      <family val="2"/>
    </font>
  </fonts>
  <fills count="11">
    <fill>
      <patternFill patternType="none"/>
    </fill>
    <fill>
      <patternFill patternType="gray125"/>
    </fill>
    <fill>
      <patternFill patternType="solid">
        <fgColor rgb="FFFFFF00"/>
        <bgColor indexed="64"/>
      </patternFill>
    </fill>
    <fill>
      <patternFill patternType="solid">
        <fgColor rgb="FF870A3C"/>
        <bgColor indexed="64"/>
      </patternFill>
    </fill>
    <fill>
      <patternFill patternType="solid">
        <fgColor rgb="FFD9D9D9"/>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8">
    <xf numFmtId="0" fontId="0" fillId="0" borderId="0" xfId="0"/>
    <xf numFmtId="0" fontId="2" fillId="0" borderId="0" xfId="0" applyFont="1"/>
    <xf numFmtId="15" fontId="3" fillId="0" borderId="1" xfId="0" applyNumberFormat="1" applyFont="1" applyBorder="1" applyAlignment="1">
      <alignment horizontal="left" vertical="center"/>
    </xf>
    <xf numFmtId="0" fontId="4" fillId="0" borderId="1" xfId="0" applyFont="1" applyBorder="1" applyAlignment="1" applyProtection="1">
      <alignment horizontal="center"/>
      <protection locked="0"/>
    </xf>
    <xf numFmtId="164" fontId="3" fillId="0" borderId="1" xfId="1" applyNumberFormat="1" applyFont="1" applyBorder="1" applyAlignment="1" applyProtection="1">
      <alignment horizontal="left" vertical="center"/>
      <protection locked="0"/>
    </xf>
    <xf numFmtId="0" fontId="5" fillId="0" borderId="0" xfId="0" applyFont="1"/>
    <xf numFmtId="15" fontId="3" fillId="0" borderId="1" xfId="0" applyNumberFormat="1" applyFont="1" applyBorder="1" applyAlignment="1">
      <alignment horizontal="center" vertical="center"/>
    </xf>
    <xf numFmtId="0" fontId="6" fillId="3" borderId="2" xfId="0" applyFont="1" applyFill="1" applyBorder="1" applyAlignment="1">
      <alignment horizontal="center"/>
    </xf>
    <xf numFmtId="9" fontId="7" fillId="3" borderId="0" xfId="0" applyNumberFormat="1" applyFont="1" applyFill="1" applyAlignment="1">
      <alignment horizontal="center"/>
    </xf>
    <xf numFmtId="0" fontId="6" fillId="3" borderId="1" xfId="0" applyFont="1" applyFill="1" applyBorder="1"/>
    <xf numFmtId="9" fontId="7" fillId="3" borderId="0" xfId="0" applyNumberFormat="1" applyFont="1" applyFill="1"/>
    <xf numFmtId="0" fontId="8" fillId="0" borderId="0" xfId="0" applyFont="1" applyAlignment="1">
      <alignment horizontal="center"/>
    </xf>
    <xf numFmtId="0" fontId="9" fillId="0" borderId="0" xfId="0" applyFont="1" applyAlignment="1">
      <alignment horizontal="center"/>
    </xf>
    <xf numFmtId="0" fontId="4" fillId="0" borderId="1" xfId="0" applyFont="1" applyBorder="1" applyAlignment="1">
      <alignment horizontal="center"/>
    </xf>
    <xf numFmtId="9" fontId="4" fillId="0" borderId="1" xfId="0" applyNumberFormat="1" applyFont="1" applyBorder="1" applyAlignment="1">
      <alignment horizontal="center"/>
    </xf>
    <xf numFmtId="165" fontId="3" fillId="2" borderId="1" xfId="1" applyNumberFormat="1" applyFont="1" applyFill="1" applyBorder="1" applyAlignment="1">
      <alignment horizontal="center" vertical="center"/>
    </xf>
    <xf numFmtId="0" fontId="3" fillId="0" borderId="1" xfId="0" applyFont="1" applyBorder="1"/>
    <xf numFmtId="10" fontId="3" fillId="0" borderId="1" xfId="2" applyNumberFormat="1" applyFont="1" applyBorder="1"/>
    <xf numFmtId="10" fontId="3" fillId="2" borderId="1" xfId="2" applyNumberFormat="1" applyFont="1" applyFill="1" applyBorder="1"/>
    <xf numFmtId="165" fontId="3" fillId="2" borderId="1" xfId="1" applyNumberFormat="1" applyFont="1" applyFill="1" applyBorder="1" applyAlignment="1">
      <alignment horizontal="left" vertical="center" wrapText="1"/>
    </xf>
    <xf numFmtId="0" fontId="12" fillId="0" borderId="1" xfId="0" applyFont="1" applyBorder="1"/>
    <xf numFmtId="0" fontId="9" fillId="0" borderId="0" xfId="0" applyFont="1" applyAlignment="1">
      <alignment horizontal="left" wrapText="1"/>
    </xf>
    <xf numFmtId="9" fontId="3" fillId="0" borderId="1" xfId="2" applyFont="1" applyBorder="1"/>
    <xf numFmtId="9" fontId="3" fillId="0" borderId="1" xfId="0" applyNumberFormat="1" applyFont="1" applyBorder="1"/>
    <xf numFmtId="10" fontId="3" fillId="0" borderId="1" xfId="0" applyNumberFormat="1" applyFont="1" applyBorder="1"/>
    <xf numFmtId="0" fontId="9" fillId="0" borderId="0" xfId="0" applyFont="1" applyAlignment="1">
      <alignment horizontal="left" vertical="center" wrapText="1"/>
    </xf>
    <xf numFmtId="0" fontId="13" fillId="0" borderId="0" xfId="0" applyFont="1" applyAlignment="1">
      <alignment horizontal="left" vertical="center" wrapText="1"/>
    </xf>
    <xf numFmtId="0" fontId="12" fillId="0" borderId="1" xfId="0" applyFont="1" applyBorder="1" applyAlignment="1">
      <alignment horizontal="center"/>
    </xf>
    <xf numFmtId="10" fontId="3" fillId="0" borderId="1" xfId="2" applyNumberFormat="1" applyFont="1" applyBorder="1" applyAlignment="1">
      <alignment horizontal="center"/>
    </xf>
    <xf numFmtId="166" fontId="14" fillId="0" borderId="0" xfId="0" applyNumberFormat="1" applyFont="1" applyAlignment="1">
      <alignment horizontal="right"/>
    </xf>
    <xf numFmtId="167" fontId="14" fillId="0" borderId="0" xfId="0" applyNumberFormat="1" applyFont="1" applyAlignment="1">
      <alignment horizontal="right"/>
    </xf>
    <xf numFmtId="168" fontId="14" fillId="0" borderId="0" xfId="0" applyNumberFormat="1" applyFont="1" applyAlignment="1">
      <alignment horizontal="right"/>
    </xf>
    <xf numFmtId="0" fontId="15" fillId="0" borderId="0" xfId="0" applyFont="1" applyAlignment="1">
      <alignment horizontal="center"/>
    </xf>
    <xf numFmtId="0" fontId="9" fillId="0" borderId="0" xfId="0" applyFont="1"/>
    <xf numFmtId="0" fontId="9" fillId="0" borderId="0" xfId="0" applyFont="1" applyAlignment="1">
      <alignment horizontal="left"/>
    </xf>
    <xf numFmtId="0" fontId="11" fillId="0" borderId="0" xfId="0" applyFont="1" applyAlignment="1">
      <alignment horizontal="center"/>
    </xf>
    <xf numFmtId="0" fontId="14" fillId="4" borderId="9" xfId="0" applyFont="1" applyFill="1" applyBorder="1" applyAlignment="1">
      <alignment vertical="center"/>
    </xf>
    <xf numFmtId="10" fontId="14" fillId="0" borderId="0" xfId="2" applyNumberFormat="1" applyFont="1" applyFill="1" applyBorder="1" applyAlignment="1">
      <alignment horizontal="right"/>
    </xf>
    <xf numFmtId="2" fontId="14" fillId="0" borderId="0" xfId="0" applyNumberFormat="1" applyFont="1" applyAlignment="1">
      <alignment horizontal="right"/>
    </xf>
    <xf numFmtId="170" fontId="14" fillId="0" borderId="0" xfId="0" applyNumberFormat="1" applyFont="1" applyAlignment="1">
      <alignment horizontal="right"/>
    </xf>
    <xf numFmtId="0" fontId="10" fillId="0" borderId="0" xfId="0" applyFont="1"/>
    <xf numFmtId="170" fontId="9" fillId="0" borderId="0" xfId="0" applyNumberFormat="1" applyFont="1" applyAlignment="1">
      <alignment horizontal="right"/>
    </xf>
    <xf numFmtId="0" fontId="10" fillId="0" borderId="0" xfId="0" applyFont="1" applyAlignment="1">
      <alignment horizontal="left" wrapText="1"/>
    </xf>
    <xf numFmtId="0" fontId="14" fillId="4" borderId="0" xfId="0" applyFont="1" applyFill="1" applyAlignment="1">
      <alignment horizontal="center"/>
    </xf>
    <xf numFmtId="9" fontId="14" fillId="0" borderId="0" xfId="2" applyFont="1" applyFill="1" applyBorder="1" applyAlignment="1">
      <alignment horizontal="right"/>
    </xf>
    <xf numFmtId="0" fontId="14" fillId="4" borderId="9" xfId="0" applyFont="1" applyFill="1" applyBorder="1" applyAlignment="1">
      <alignment horizontal="left" vertical="center"/>
    </xf>
    <xf numFmtId="169" fontId="14" fillId="0" borderId="0" xfId="2" applyNumberFormat="1" applyFont="1" applyFill="1" applyBorder="1" applyAlignment="1">
      <alignment horizontal="right"/>
    </xf>
    <xf numFmtId="169" fontId="2" fillId="0" borderId="0" xfId="2" applyNumberFormat="1" applyFont="1"/>
    <xf numFmtId="0" fontId="10" fillId="0" borderId="0" xfId="0" applyFont="1" applyAlignment="1">
      <alignment horizontal="center" wrapText="1"/>
    </xf>
    <xf numFmtId="171" fontId="9" fillId="0" borderId="0" xfId="0" applyNumberFormat="1" applyFont="1" applyAlignment="1">
      <alignment wrapText="1"/>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left"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10" fillId="0" borderId="0" xfId="0" applyFont="1" applyAlignment="1">
      <alignment wrapText="1"/>
    </xf>
    <xf numFmtId="0" fontId="9" fillId="0" borderId="0" xfId="0" applyFont="1" applyAlignment="1">
      <alignment vertical="center" wrapText="1"/>
    </xf>
    <xf numFmtId="0" fontId="9" fillId="0" borderId="0" xfId="0" quotePrefix="1" applyFont="1"/>
    <xf numFmtId="0" fontId="9" fillId="0" borderId="6" xfId="0" applyFont="1" applyBorder="1" applyAlignment="1">
      <alignment horizontal="left" vertical="justify" wrapText="1"/>
    </xf>
    <xf numFmtId="0" fontId="9" fillId="0" borderId="7" xfId="0" applyFont="1" applyBorder="1" applyAlignment="1">
      <alignment horizontal="left" vertical="justify" wrapText="1"/>
    </xf>
    <xf numFmtId="0" fontId="9" fillId="0" borderId="13" xfId="0" applyFont="1" applyBorder="1" applyAlignment="1">
      <alignment horizontal="left" vertical="justify" wrapText="1"/>
    </xf>
    <xf numFmtId="0" fontId="9" fillId="0" borderId="0" xfId="0" applyFont="1" applyAlignment="1">
      <alignment horizontal="left" vertical="justify" wrapText="1"/>
    </xf>
    <xf numFmtId="0" fontId="10" fillId="0" borderId="0" xfId="0" applyFont="1" applyAlignment="1">
      <alignment horizontal="center" vertical="center"/>
    </xf>
    <xf numFmtId="10" fontId="9" fillId="0" borderId="0" xfId="0" applyNumberFormat="1" applyFont="1" applyAlignment="1">
      <alignment horizontal="center"/>
    </xf>
    <xf numFmtId="10" fontId="10" fillId="0" borderId="0" xfId="0" applyNumberFormat="1" applyFont="1" applyAlignment="1">
      <alignment horizontal="center"/>
    </xf>
    <xf numFmtId="0" fontId="15" fillId="0" borderId="0" xfId="0" applyFont="1" applyAlignment="1">
      <alignment wrapText="1"/>
    </xf>
    <xf numFmtId="0" fontId="16" fillId="0" borderId="0" xfId="0" applyFont="1" applyAlignment="1">
      <alignment horizontal="left" wrapText="1"/>
    </xf>
    <xf numFmtId="0" fontId="0" fillId="4" borderId="0" xfId="0" applyFill="1"/>
    <xf numFmtId="0" fontId="17" fillId="4" borderId="1" xfId="0" applyFont="1" applyFill="1" applyBorder="1"/>
    <xf numFmtId="0" fontId="18" fillId="5" borderId="1" xfId="0" applyFont="1" applyFill="1" applyBorder="1" applyAlignment="1">
      <alignment horizontal="left" vertical="center"/>
    </xf>
    <xf numFmtId="9" fontId="19" fillId="2" borderId="1" xfId="0" applyNumberFormat="1" applyFont="1" applyFill="1" applyBorder="1" applyAlignment="1">
      <alignment horizontal="left" vertical="center"/>
    </xf>
    <xf numFmtId="0" fontId="2" fillId="4" borderId="0" xfId="0" applyFont="1" applyFill="1"/>
    <xf numFmtId="0" fontId="20" fillId="4" borderId="1" xfId="0" applyFont="1" applyFill="1" applyBorder="1"/>
    <xf numFmtId="10" fontId="19" fillId="2" borderId="1" xfId="0" applyNumberFormat="1" applyFont="1" applyFill="1" applyBorder="1" applyAlignment="1">
      <alignment horizontal="left"/>
    </xf>
    <xf numFmtId="0" fontId="0" fillId="6" borderId="16" xfId="0" applyFill="1" applyBorder="1"/>
    <xf numFmtId="0" fontId="0" fillId="6" borderId="17" xfId="0" applyFill="1" applyBorder="1"/>
    <xf numFmtId="169" fontId="4" fillId="0" borderId="1" xfId="2" applyNumberFormat="1" applyFont="1" applyBorder="1" applyAlignment="1">
      <alignment horizontal="left"/>
    </xf>
    <xf numFmtId="172" fontId="4" fillId="5" borderId="1" xfId="0" applyNumberFormat="1" applyFont="1" applyFill="1" applyBorder="1" applyAlignment="1">
      <alignment horizontal="left"/>
    </xf>
    <xf numFmtId="0" fontId="17" fillId="6" borderId="0" xfId="0" applyFont="1" applyFill="1"/>
    <xf numFmtId="0" fontId="0" fillId="6" borderId="0" xfId="0" applyFill="1"/>
    <xf numFmtId="0" fontId="21" fillId="6" borderId="0" xfId="0" applyFont="1" applyFill="1"/>
    <xf numFmtId="173" fontId="17" fillId="0" borderId="0" xfId="0" applyNumberFormat="1" applyFont="1" applyAlignment="1">
      <alignment horizontal="right"/>
    </xf>
    <xf numFmtId="9" fontId="17" fillId="6" borderId="0" xfId="0" applyNumberFormat="1" applyFont="1" applyFill="1" applyAlignment="1">
      <alignment horizontal="center"/>
    </xf>
    <xf numFmtId="10" fontId="0" fillId="4" borderId="0" xfId="0" applyNumberFormat="1" applyFill="1"/>
    <xf numFmtId="169" fontId="0" fillId="4" borderId="0" xfId="2" applyNumberFormat="1" applyFont="1" applyFill="1"/>
    <xf numFmtId="0" fontId="0" fillId="6" borderId="0" xfId="0" applyFill="1" applyAlignment="1">
      <alignment horizontal="center"/>
    </xf>
    <xf numFmtId="172" fontId="0" fillId="4" borderId="0" xfId="0" applyNumberFormat="1" applyFill="1"/>
    <xf numFmtId="0" fontId="0" fillId="0" borderId="17" xfId="0" applyBorder="1"/>
    <xf numFmtId="0" fontId="17" fillId="6" borderId="0" xfId="0" applyFont="1" applyFill="1" applyAlignment="1">
      <alignment horizontal="left"/>
    </xf>
    <xf numFmtId="0" fontId="17" fillId="0" borderId="0" xfId="0" applyFont="1" applyAlignment="1">
      <alignment horizontal="center"/>
    </xf>
    <xf numFmtId="0" fontId="0" fillId="6" borderId="18" xfId="0" applyFill="1" applyBorder="1"/>
    <xf numFmtId="0" fontId="0" fillId="0" borderId="19" xfId="0" applyBorder="1"/>
    <xf numFmtId="0" fontId="0" fillId="6" borderId="20" xfId="0" applyFill="1" applyBorder="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17" fillId="7" borderId="6" xfId="0" applyFont="1" applyFill="1" applyBorder="1" applyAlignment="1">
      <alignment horizontal="left"/>
    </xf>
    <xf numFmtId="0" fontId="17" fillId="7" borderId="7" xfId="0" applyFont="1" applyFill="1" applyBorder="1" applyAlignment="1">
      <alignment horizontal="left"/>
    </xf>
    <xf numFmtId="0" fontId="17" fillId="7" borderId="6" xfId="0" applyFont="1" applyFill="1" applyBorder="1" applyAlignment="1">
      <alignment horizontal="left" vertical="center"/>
    </xf>
    <xf numFmtId="0" fontId="17" fillId="7" borderId="7" xfId="0" applyFont="1" applyFill="1" applyBorder="1" applyAlignment="1">
      <alignment horizontal="left" vertical="center"/>
    </xf>
    <xf numFmtId="0" fontId="24" fillId="7" borderId="1" xfId="0" applyFont="1" applyFill="1" applyBorder="1" applyAlignment="1">
      <alignment horizontal="left" vertical="center" wrapText="1"/>
    </xf>
    <xf numFmtId="164" fontId="20" fillId="7" borderId="1" xfId="1" applyNumberFormat="1" applyFont="1" applyFill="1" applyBorder="1" applyAlignment="1">
      <alignment horizontal="left" vertical="center" wrapText="1"/>
    </xf>
    <xf numFmtId="0" fontId="0" fillId="7" borderId="0" xfId="0" applyFill="1"/>
    <xf numFmtId="0" fontId="14" fillId="7" borderId="6" xfId="0" applyFont="1" applyFill="1" applyBorder="1"/>
    <xf numFmtId="0" fontId="5" fillId="7" borderId="7" xfId="0" applyFont="1" applyFill="1" applyBorder="1"/>
    <xf numFmtId="0" fontId="9" fillId="7" borderId="7" xfId="0" applyFont="1" applyFill="1" applyBorder="1"/>
    <xf numFmtId="0" fontId="14" fillId="7" borderId="9" xfId="0" applyFont="1" applyFill="1" applyBorder="1"/>
    <xf numFmtId="0" fontId="5" fillId="7" borderId="0" xfId="0" applyFont="1" applyFill="1"/>
    <xf numFmtId="0" fontId="9" fillId="7" borderId="0" xfId="0" applyFont="1" applyFill="1"/>
    <xf numFmtId="0" fontId="14" fillId="7" borderId="11" xfId="0" applyFont="1" applyFill="1" applyBorder="1"/>
    <xf numFmtId="0" fontId="5" fillId="7" borderId="12" xfId="0" applyFont="1" applyFill="1" applyBorder="1"/>
    <xf numFmtId="0" fontId="9" fillId="7" borderId="12" xfId="0" applyFont="1" applyFill="1" applyBorder="1"/>
    <xf numFmtId="0" fontId="5" fillId="7" borderId="9" xfId="0" applyFont="1" applyFill="1" applyBorder="1" applyAlignment="1">
      <alignment vertical="center"/>
    </xf>
    <xf numFmtId="1" fontId="9" fillId="7" borderId="0" xfId="0" applyNumberFormat="1" applyFont="1" applyFill="1" applyAlignment="1">
      <alignment horizontal="left"/>
    </xf>
    <xf numFmtId="0" fontId="5" fillId="7" borderId="11" xfId="0" applyFont="1" applyFill="1" applyBorder="1" applyAlignment="1">
      <alignment vertical="center"/>
    </xf>
    <xf numFmtId="1" fontId="9" fillId="7" borderId="12" xfId="0" applyNumberFormat="1" applyFont="1" applyFill="1" applyBorder="1" applyAlignment="1">
      <alignment horizontal="left"/>
    </xf>
    <xf numFmtId="0" fontId="14" fillId="7" borderId="9" xfId="0" applyFont="1" applyFill="1" applyBorder="1" applyAlignment="1">
      <alignment vertical="center"/>
    </xf>
    <xf numFmtId="0" fontId="9" fillId="7" borderId="7" xfId="0" applyFont="1" applyFill="1" applyBorder="1" applyAlignment="1">
      <alignment horizontal="center"/>
    </xf>
    <xf numFmtId="170" fontId="14" fillId="7" borderId="13" xfId="0" applyNumberFormat="1" applyFont="1" applyFill="1" applyBorder="1" applyAlignment="1">
      <alignment horizontal="right"/>
    </xf>
    <xf numFmtId="0" fontId="9" fillId="7" borderId="9" xfId="0" applyFont="1" applyFill="1" applyBorder="1" applyAlignment="1">
      <alignment horizontal="left"/>
    </xf>
    <xf numFmtId="170" fontId="5" fillId="7" borderId="13" xfId="0" applyNumberFormat="1" applyFont="1" applyFill="1" applyBorder="1" applyAlignment="1">
      <alignment horizontal="right"/>
    </xf>
    <xf numFmtId="166" fontId="5" fillId="7" borderId="14" xfId="0" applyNumberFormat="1" applyFont="1" applyFill="1" applyBorder="1" applyAlignment="1">
      <alignment horizontal="right"/>
    </xf>
    <xf numFmtId="10" fontId="5" fillId="7" borderId="14" xfId="2" applyNumberFormat="1" applyFont="1" applyFill="1" applyBorder="1" applyAlignment="1">
      <alignment horizontal="right"/>
    </xf>
    <xf numFmtId="170" fontId="5" fillId="7" borderId="14" xfId="0" applyNumberFormat="1" applyFont="1" applyFill="1" applyBorder="1" applyAlignment="1">
      <alignment horizontal="right"/>
    </xf>
    <xf numFmtId="0" fontId="14" fillId="7" borderId="6" xfId="0" applyFont="1" applyFill="1" applyBorder="1" applyAlignment="1">
      <alignment horizontal="left"/>
    </xf>
    <xf numFmtId="0" fontId="14" fillId="7" borderId="7" xfId="0" applyFont="1" applyFill="1" applyBorder="1" applyAlignment="1">
      <alignment horizontal="center"/>
    </xf>
    <xf numFmtId="0" fontId="14" fillId="7" borderId="9" xfId="0" applyFont="1" applyFill="1" applyBorder="1" applyAlignment="1">
      <alignment horizontal="left"/>
    </xf>
    <xf numFmtId="0" fontId="14" fillId="7" borderId="0" xfId="0" applyFont="1" applyFill="1" applyAlignment="1">
      <alignment horizontal="center"/>
    </xf>
    <xf numFmtId="0" fontId="9" fillId="7" borderId="3" xfId="0" applyFont="1" applyFill="1" applyBorder="1" applyAlignment="1">
      <alignment horizontal="left" vertical="top" wrapText="1"/>
    </xf>
    <xf numFmtId="0" fontId="10" fillId="7" borderId="1" xfId="0" applyFont="1" applyFill="1" applyBorder="1" applyAlignment="1">
      <alignment horizontal="left" vertical="top" wrapText="1"/>
    </xf>
    <xf numFmtId="0" fontId="10" fillId="7" borderId="5" xfId="0" applyFont="1" applyFill="1" applyBorder="1" applyAlignment="1">
      <alignment horizontal="left" vertical="top" wrapText="1"/>
    </xf>
    <xf numFmtId="169" fontId="9" fillId="7" borderId="1" xfId="0" applyNumberFormat="1"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6" xfId="0" quotePrefix="1" applyFont="1" applyFill="1" applyBorder="1"/>
    <xf numFmtId="0" fontId="9" fillId="7" borderId="13" xfId="0" applyFont="1" applyFill="1" applyBorder="1" applyAlignment="1">
      <alignment horizontal="left"/>
    </xf>
    <xf numFmtId="0" fontId="9" fillId="7" borderId="14" xfId="0" applyFont="1" applyFill="1" applyBorder="1" applyAlignment="1">
      <alignment wrapText="1"/>
    </xf>
    <xf numFmtId="0" fontId="9" fillId="7" borderId="9" xfId="0" quotePrefix="1" applyFont="1" applyFill="1" applyBorder="1"/>
    <xf numFmtId="0" fontId="9" fillId="7" borderId="14" xfId="0" applyFont="1" applyFill="1" applyBorder="1"/>
    <xf numFmtId="0" fontId="9" fillId="7" borderId="11" xfId="0" quotePrefix="1" applyFont="1" applyFill="1" applyBorder="1"/>
    <xf numFmtId="0" fontId="9" fillId="7" borderId="15" xfId="0" applyFont="1" applyFill="1" applyBorder="1"/>
    <xf numFmtId="0" fontId="10" fillId="7" borderId="3" xfId="0" applyFont="1" applyFill="1" applyBorder="1" applyAlignment="1">
      <alignment horizontal="left" vertical="center"/>
    </xf>
    <xf numFmtId="0" fontId="9" fillId="7" borderId="6" xfId="0" applyFont="1" applyFill="1" applyBorder="1" applyAlignment="1">
      <alignment horizontal="left"/>
    </xf>
    <xf numFmtId="0" fontId="10" fillId="7" borderId="3" xfId="0" applyFont="1" applyFill="1" applyBorder="1" applyAlignment="1">
      <alignment horizontal="left"/>
    </xf>
    <xf numFmtId="0" fontId="10" fillId="7" borderId="1" xfId="0" applyFont="1" applyFill="1" applyBorder="1" applyAlignment="1">
      <alignment horizontal="left" vertical="center"/>
    </xf>
    <xf numFmtId="169" fontId="9" fillId="7" borderId="6" xfId="0" applyNumberFormat="1" applyFont="1" applyFill="1" applyBorder="1" applyAlignment="1">
      <alignment horizontal="left"/>
    </xf>
    <xf numFmtId="169" fontId="9" fillId="7" borderId="10" xfId="0" applyNumberFormat="1" applyFont="1" applyFill="1" applyBorder="1" applyAlignment="1">
      <alignment horizontal="left"/>
    </xf>
    <xf numFmtId="169" fontId="9" fillId="7" borderId="9" xfId="0" applyNumberFormat="1" applyFont="1" applyFill="1" applyBorder="1" applyAlignment="1">
      <alignment horizontal="left"/>
    </xf>
    <xf numFmtId="169" fontId="10" fillId="7" borderId="3" xfId="0" applyNumberFormat="1" applyFont="1" applyFill="1" applyBorder="1" applyAlignment="1">
      <alignment horizontal="left"/>
    </xf>
    <xf numFmtId="169" fontId="10" fillId="7" borderId="1" xfId="0" applyNumberFormat="1" applyFont="1" applyFill="1" applyBorder="1" applyAlignment="1">
      <alignment horizontal="left"/>
    </xf>
    <xf numFmtId="169" fontId="0" fillId="7" borderId="1" xfId="2" applyNumberFormat="1" applyFont="1" applyFill="1" applyBorder="1" applyAlignment="1">
      <alignment horizontal="left" vertical="center"/>
    </xf>
    <xf numFmtId="166" fontId="5" fillId="7" borderId="8" xfId="0" applyNumberFormat="1" applyFont="1" applyFill="1" applyBorder="1" applyAlignment="1">
      <alignment horizontal="right"/>
    </xf>
    <xf numFmtId="0" fontId="5" fillId="7" borderId="10" xfId="0" applyFont="1" applyFill="1" applyBorder="1" applyAlignment="1">
      <alignment horizontal="right"/>
    </xf>
    <xf numFmtId="166" fontId="5" fillId="7" borderId="10" xfId="0" applyNumberFormat="1" applyFont="1" applyFill="1" applyBorder="1" applyAlignment="1">
      <alignment horizontal="right"/>
    </xf>
    <xf numFmtId="167" fontId="5" fillId="7" borderId="10" xfId="0" applyNumberFormat="1" applyFont="1" applyFill="1" applyBorder="1" applyAlignment="1">
      <alignment horizontal="right"/>
    </xf>
    <xf numFmtId="168" fontId="5" fillId="7" borderId="10" xfId="0" applyNumberFormat="1" applyFont="1" applyFill="1" applyBorder="1" applyAlignment="1">
      <alignment horizontal="right"/>
    </xf>
    <xf numFmtId="168" fontId="5" fillId="7" borderId="2" xfId="0" applyNumberFormat="1" applyFont="1" applyFill="1" applyBorder="1" applyAlignment="1">
      <alignment horizontal="right"/>
    </xf>
    <xf numFmtId="10" fontId="5" fillId="7" borderId="10" xfId="2" applyNumberFormat="1" applyFont="1" applyFill="1" applyBorder="1" applyAlignment="1">
      <alignment horizontal="right"/>
    </xf>
    <xf numFmtId="169" fontId="5" fillId="7" borderId="10" xfId="2" applyNumberFormat="1" applyFont="1" applyFill="1" applyBorder="1" applyAlignment="1">
      <alignment horizontal="right"/>
    </xf>
    <xf numFmtId="170" fontId="5" fillId="7" borderId="2" xfId="0" applyNumberFormat="1" applyFont="1" applyFill="1" applyBorder="1" applyAlignment="1">
      <alignment horizontal="right"/>
    </xf>
    <xf numFmtId="175" fontId="30" fillId="9" borderId="1" xfId="1" applyNumberFormat="1" applyFont="1" applyFill="1" applyBorder="1" applyAlignment="1">
      <alignment horizontal="center" vertical="center"/>
    </xf>
    <xf numFmtId="169" fontId="25" fillId="7" borderId="5" xfId="2" applyNumberFormat="1" applyFont="1" applyFill="1" applyBorder="1" applyAlignment="1" applyProtection="1">
      <alignment horizontal="center"/>
      <protection locked="0"/>
    </xf>
    <xf numFmtId="176" fontId="25" fillId="7" borderId="3" xfId="2" applyNumberFormat="1" applyFont="1" applyFill="1" applyBorder="1" applyAlignment="1" applyProtection="1">
      <alignment horizontal="left"/>
      <protection locked="0"/>
    </xf>
    <xf numFmtId="10" fontId="0" fillId="7" borderId="1" xfId="2" applyNumberFormat="1" applyFont="1" applyFill="1" applyBorder="1" applyAlignment="1">
      <alignment horizontal="left" vertical="center"/>
    </xf>
    <xf numFmtId="10" fontId="14" fillId="4" borderId="14" xfId="2" applyNumberFormat="1" applyFont="1" applyFill="1" applyBorder="1" applyAlignment="1">
      <alignment horizontal="right"/>
    </xf>
    <xf numFmtId="170" fontId="14" fillId="10" borderId="14" xfId="0" applyNumberFormat="1" applyFont="1" applyFill="1" applyBorder="1" applyAlignment="1">
      <alignment horizontal="right"/>
    </xf>
    <xf numFmtId="9" fontId="14" fillId="4" borderId="14" xfId="2" applyFont="1" applyFill="1" applyBorder="1" applyAlignment="1" applyProtection="1">
      <alignment horizontal="right"/>
      <protection locked="0"/>
    </xf>
    <xf numFmtId="0" fontId="17" fillId="7" borderId="1" xfId="0" applyFont="1" applyFill="1" applyBorder="1" applyAlignment="1">
      <alignment horizontal="left"/>
    </xf>
    <xf numFmtId="0" fontId="17" fillId="7" borderId="3" xfId="0" applyFont="1" applyFill="1" applyBorder="1" applyAlignment="1">
      <alignment horizontal="left"/>
    </xf>
    <xf numFmtId="174" fontId="17" fillId="7" borderId="3" xfId="1" applyNumberFormat="1" applyFont="1" applyFill="1" applyBorder="1" applyAlignment="1" applyProtection="1">
      <alignment horizontal="center"/>
      <protection locked="0"/>
    </xf>
    <xf numFmtId="174" fontId="17" fillId="7" borderId="5" xfId="1" applyNumberFormat="1" applyFont="1" applyFill="1" applyBorder="1" applyAlignment="1" applyProtection="1">
      <alignment horizontal="center"/>
      <protection locked="0"/>
    </xf>
    <xf numFmtId="0" fontId="22" fillId="7" borderId="3" xfId="0" applyFont="1" applyFill="1" applyBorder="1" applyAlignment="1">
      <alignment horizontal="left"/>
    </xf>
    <xf numFmtId="0" fontId="22" fillId="7" borderId="4" xfId="0" applyFont="1" applyFill="1" applyBorder="1" applyAlignment="1">
      <alignment horizontal="left"/>
    </xf>
    <xf numFmtId="0" fontId="22" fillId="7" borderId="5" xfId="0" applyFont="1" applyFill="1" applyBorder="1" applyAlignment="1">
      <alignment horizontal="left"/>
    </xf>
    <xf numFmtId="166" fontId="17" fillId="0" borderId="0" xfId="0" applyNumberFormat="1" applyFont="1" applyAlignment="1">
      <alignment horizontal="right"/>
    </xf>
    <xf numFmtId="0" fontId="24" fillId="7" borderId="3"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7" borderId="5" xfId="0" applyFont="1" applyFill="1" applyBorder="1" applyAlignment="1">
      <alignment horizontal="left" vertical="center" wrapText="1"/>
    </xf>
    <xf numFmtId="0" fontId="23" fillId="7" borderId="3" xfId="0" applyFont="1" applyFill="1" applyBorder="1" applyAlignment="1">
      <alignment horizontal="left"/>
    </xf>
    <xf numFmtId="0" fontId="23" fillId="7" borderId="4" xfId="0" applyFont="1" applyFill="1" applyBorder="1" applyAlignment="1">
      <alignment horizontal="left"/>
    </xf>
    <xf numFmtId="0" fontId="23" fillId="7" borderId="5" xfId="0" applyFont="1" applyFill="1" applyBorder="1" applyAlignment="1">
      <alignment horizontal="left"/>
    </xf>
    <xf numFmtId="0" fontId="17" fillId="7" borderId="10" xfId="0" applyFont="1" applyFill="1" applyBorder="1" applyAlignment="1">
      <alignment horizontal="left"/>
    </xf>
    <xf numFmtId="0" fontId="17" fillId="7" borderId="9" xfId="0" applyFont="1" applyFill="1" applyBorder="1" applyAlignment="1">
      <alignment horizontal="left"/>
    </xf>
    <xf numFmtId="166" fontId="17" fillId="7" borderId="3" xfId="1" applyNumberFormat="1" applyFont="1" applyFill="1" applyBorder="1" applyAlignment="1" applyProtection="1">
      <alignment horizontal="center"/>
      <protection locked="0"/>
    </xf>
    <xf numFmtId="166" fontId="17" fillId="7" borderId="5" xfId="1" applyNumberFormat="1" applyFont="1" applyFill="1" applyBorder="1" applyAlignment="1" applyProtection="1">
      <alignment horizontal="center"/>
      <protection locked="0"/>
    </xf>
    <xf numFmtId="0" fontId="23" fillId="7" borderId="3" xfId="0" applyFont="1" applyFill="1" applyBorder="1"/>
    <xf numFmtId="0" fontId="23" fillId="7" borderId="4" xfId="0" applyFont="1" applyFill="1" applyBorder="1"/>
    <xf numFmtId="0" fontId="23" fillId="7" borderId="5" xfId="0" applyFont="1" applyFill="1" applyBorder="1"/>
    <xf numFmtId="0" fontId="17" fillId="7" borderId="4" xfId="0" applyFont="1" applyFill="1" applyBorder="1" applyAlignment="1">
      <alignment horizontal="left"/>
    </xf>
    <xf numFmtId="0" fontId="17" fillId="7" borderId="5" xfId="0" applyFont="1" applyFill="1" applyBorder="1" applyAlignment="1">
      <alignment horizontal="left"/>
    </xf>
    <xf numFmtId="0" fontId="25" fillId="7" borderId="3" xfId="0" applyFont="1" applyFill="1" applyBorder="1" applyAlignment="1" applyProtection="1">
      <alignment horizontal="left"/>
      <protection locked="0"/>
    </xf>
    <xf numFmtId="0" fontId="25" fillId="7" borderId="5" xfId="0" applyFont="1" applyFill="1" applyBorder="1" applyAlignment="1" applyProtection="1">
      <alignment horizontal="left"/>
      <protection locked="0"/>
    </xf>
    <xf numFmtId="0" fontId="20" fillId="7" borderId="1" xfId="0" applyFont="1" applyFill="1" applyBorder="1" applyAlignment="1">
      <alignment horizontal="left"/>
    </xf>
    <xf numFmtId="174" fontId="17" fillId="8" borderId="3" xfId="1" applyNumberFormat="1" applyFont="1" applyFill="1" applyBorder="1" applyAlignment="1" applyProtection="1">
      <alignment horizontal="center"/>
      <protection locked="0"/>
    </xf>
    <xf numFmtId="174" fontId="17" fillId="8" borderId="5" xfId="1" applyNumberFormat="1" applyFont="1" applyFill="1" applyBorder="1" applyAlignment="1" applyProtection="1">
      <alignment horizontal="center"/>
      <protection locked="0"/>
    </xf>
    <xf numFmtId="169" fontId="20" fillId="7" borderId="1" xfId="2" applyNumberFormat="1" applyFont="1" applyFill="1" applyBorder="1" applyAlignment="1" applyProtection="1">
      <alignment horizontal="left"/>
    </xf>
    <xf numFmtId="9" fontId="20" fillId="7" borderId="1" xfId="2" applyFont="1" applyFill="1" applyBorder="1" applyAlignment="1" applyProtection="1">
      <alignment horizontal="left"/>
    </xf>
    <xf numFmtId="166" fontId="20" fillId="7" borderId="3" xfId="1" applyNumberFormat="1" applyFont="1" applyFill="1" applyBorder="1" applyAlignment="1" applyProtection="1">
      <alignment horizontal="left"/>
    </xf>
    <xf numFmtId="166" fontId="20" fillId="7" borderId="5" xfId="1" applyNumberFormat="1" applyFont="1" applyFill="1" applyBorder="1" applyAlignment="1" applyProtection="1">
      <alignment horizontal="left"/>
    </xf>
    <xf numFmtId="0" fontId="20" fillId="7" borderId="6" xfId="0" applyFont="1" applyFill="1" applyBorder="1" applyAlignment="1">
      <alignment horizontal="left" vertical="center" wrapText="1"/>
    </xf>
    <xf numFmtId="0" fontId="20" fillId="7" borderId="13" xfId="0" applyFont="1" applyFill="1" applyBorder="1" applyAlignment="1">
      <alignment horizontal="left" vertical="center" wrapText="1"/>
    </xf>
    <xf numFmtId="10" fontId="20" fillId="7" borderId="3" xfId="2" applyNumberFormat="1" applyFont="1" applyFill="1" applyBorder="1" applyAlignment="1" applyProtection="1">
      <alignment horizontal="left"/>
      <protection hidden="1"/>
    </xf>
    <xf numFmtId="10" fontId="20" fillId="7" borderId="5" xfId="2" applyNumberFormat="1" applyFont="1" applyFill="1" applyBorder="1" applyAlignment="1" applyProtection="1">
      <alignment horizontal="left"/>
      <protection hidden="1"/>
    </xf>
    <xf numFmtId="10" fontId="20" fillId="7" borderId="3" xfId="0" applyNumberFormat="1" applyFont="1" applyFill="1" applyBorder="1" applyAlignment="1">
      <alignment horizontal="left" vertical="center" wrapText="1"/>
    </xf>
    <xf numFmtId="10" fontId="20" fillId="7" borderId="4" xfId="0" applyNumberFormat="1" applyFont="1" applyFill="1" applyBorder="1" applyAlignment="1">
      <alignment horizontal="left" vertical="center" wrapText="1"/>
    </xf>
    <xf numFmtId="10" fontId="20" fillId="7" borderId="5" xfId="0" applyNumberFormat="1" applyFont="1" applyFill="1" applyBorder="1" applyAlignment="1">
      <alignment horizontal="left" vertical="center" wrapText="1"/>
    </xf>
    <xf numFmtId="0" fontId="23" fillId="7" borderId="3"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23" fillId="7" borderId="5" xfId="0" applyFont="1" applyFill="1" applyBorder="1" applyAlignment="1">
      <alignment horizontal="left" vertical="center" wrapText="1"/>
    </xf>
    <xf numFmtId="0" fontId="26" fillId="7" borderId="0" xfId="0" applyFont="1" applyFill="1"/>
    <xf numFmtId="0" fontId="9" fillId="0" borderId="0" xfId="0" applyFont="1" applyAlignment="1">
      <alignment wrapText="1"/>
    </xf>
    <xf numFmtId="0" fontId="28" fillId="7" borderId="0" xfId="0" applyFont="1" applyFill="1" applyAlignment="1">
      <alignment vertical="center" wrapText="1"/>
    </xf>
    <xf numFmtId="0" fontId="23" fillId="7" borderId="0" xfId="0" applyFont="1" applyFill="1"/>
    <xf numFmtId="0" fontId="9" fillId="7" borderId="0" xfId="0" applyFont="1" applyFill="1" applyAlignment="1">
      <alignment vertical="center" wrapText="1"/>
    </xf>
    <xf numFmtId="0" fontId="27" fillId="7" borderId="3"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5" xfId="0" applyFont="1" applyFill="1" applyBorder="1" applyAlignment="1">
      <alignment horizontal="left" vertical="center" wrapText="1"/>
    </xf>
    <xf numFmtId="0" fontId="23" fillId="8" borderId="3" xfId="0" applyFont="1" applyFill="1" applyBorder="1" applyAlignment="1">
      <alignment horizontal="left"/>
    </xf>
    <xf numFmtId="0" fontId="23" fillId="8" borderId="4" xfId="0" applyFont="1" applyFill="1" applyBorder="1" applyAlignment="1">
      <alignment horizontal="left"/>
    </xf>
    <xf numFmtId="0" fontId="23" fillId="8" borderId="5" xfId="0" applyFont="1" applyFill="1" applyBorder="1" applyAlignment="1">
      <alignment horizontal="left"/>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22" fillId="7" borderId="5" xfId="0" applyFont="1" applyFill="1" applyBorder="1" applyAlignment="1">
      <alignment horizontal="left" vertical="center" wrapText="1"/>
    </xf>
    <xf numFmtId="0" fontId="29" fillId="7" borderId="3" xfId="0" applyFont="1" applyFill="1" applyBorder="1" applyAlignment="1">
      <alignment horizontal="left" vertical="center" wrapText="1"/>
    </xf>
    <xf numFmtId="0" fontId="29" fillId="7" borderId="4" xfId="0" applyFont="1" applyFill="1" applyBorder="1" applyAlignment="1">
      <alignment horizontal="left" vertical="center" wrapText="1"/>
    </xf>
    <xf numFmtId="0" fontId="29" fillId="7" borderId="5" xfId="0" applyFont="1" applyFill="1" applyBorder="1" applyAlignment="1">
      <alignment horizontal="left" vertical="center" wrapText="1"/>
    </xf>
    <xf numFmtId="0" fontId="9" fillId="7" borderId="9" xfId="0" quotePrefix="1" applyFont="1" applyFill="1" applyBorder="1" applyAlignment="1">
      <alignment horizontal="left" vertical="top" wrapText="1"/>
    </xf>
    <xf numFmtId="0" fontId="9" fillId="7" borderId="0" xfId="0" quotePrefix="1" applyFont="1" applyFill="1" applyAlignment="1">
      <alignment horizontal="left" vertical="top" wrapText="1"/>
    </xf>
    <xf numFmtId="0" fontId="9" fillId="7" borderId="14" xfId="0" quotePrefix="1" applyFont="1" applyFill="1" applyBorder="1" applyAlignment="1">
      <alignment horizontal="left" vertical="top" wrapText="1"/>
    </xf>
    <xf numFmtId="0" fontId="9" fillId="7" borderId="9" xfId="0" applyFont="1" applyFill="1" applyBorder="1" applyAlignment="1">
      <alignment wrapText="1"/>
    </xf>
    <xf numFmtId="0" fontId="9" fillId="7" borderId="0" xfId="0" applyFont="1" applyFill="1" applyAlignment="1">
      <alignment wrapText="1"/>
    </xf>
    <xf numFmtId="0" fontId="9" fillId="7" borderId="14" xfId="0" applyFont="1" applyFill="1" applyBorder="1" applyAlignment="1">
      <alignment wrapText="1"/>
    </xf>
    <xf numFmtId="0" fontId="9" fillId="7" borderId="9"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14" xfId="0" applyFont="1" applyFill="1" applyBorder="1" applyAlignment="1">
      <alignment horizontal="left" vertical="center" wrapText="1"/>
    </xf>
    <xf numFmtId="0" fontId="9" fillId="7" borderId="9" xfId="0" quotePrefix="1" applyFont="1" applyFill="1" applyBorder="1" applyAlignment="1">
      <alignment wrapText="1"/>
    </xf>
    <xf numFmtId="0" fontId="9" fillId="7" borderId="9" xfId="0" quotePrefix="1" applyFont="1" applyFill="1" applyBorder="1" applyAlignment="1">
      <alignment vertical="top" wrapText="1"/>
    </xf>
    <xf numFmtId="0" fontId="9" fillId="7" borderId="0" xfId="0" applyFont="1" applyFill="1" applyAlignment="1">
      <alignment vertical="top" wrapText="1"/>
    </xf>
    <xf numFmtId="0" fontId="9" fillId="7" borderId="14" xfId="0" applyFont="1" applyFill="1" applyBorder="1" applyAlignment="1">
      <alignment vertical="top" wrapText="1"/>
    </xf>
    <xf numFmtId="0" fontId="9" fillId="7" borderId="0" xfId="0" applyFont="1" applyFill="1" applyAlignment="1">
      <alignment horizontal="left" vertical="top" wrapText="1"/>
    </xf>
    <xf numFmtId="0" fontId="9" fillId="7" borderId="14" xfId="0" applyFont="1" applyFill="1" applyBorder="1" applyAlignment="1">
      <alignment horizontal="left" vertical="top" wrapText="1"/>
    </xf>
    <xf numFmtId="0" fontId="9" fillId="7" borderId="11" xfId="0" quotePrefix="1" applyFont="1" applyFill="1" applyBorder="1" applyAlignment="1">
      <alignment horizontal="left" vertical="top" wrapText="1"/>
    </xf>
    <xf numFmtId="0" fontId="9" fillId="7" borderId="12" xfId="0" applyFont="1" applyFill="1" applyBorder="1" applyAlignment="1">
      <alignment horizontal="left" vertical="top" wrapText="1"/>
    </xf>
    <xf numFmtId="0" fontId="9" fillId="7" borderId="15" xfId="0" applyFont="1" applyFill="1" applyBorder="1" applyAlignment="1">
      <alignment horizontal="left" vertical="top" wrapText="1"/>
    </xf>
    <xf numFmtId="0" fontId="10" fillId="7" borderId="3" xfId="0" applyFont="1" applyFill="1" applyBorder="1" applyAlignment="1">
      <alignment horizontal="left" vertical="top" wrapText="1"/>
    </xf>
    <xf numFmtId="0" fontId="10" fillId="7" borderId="5" xfId="0" applyFont="1" applyFill="1" applyBorder="1" applyAlignment="1">
      <alignment horizontal="left" vertical="top" wrapText="1"/>
    </xf>
    <xf numFmtId="10" fontId="9" fillId="7" borderId="3" xfId="0" applyNumberFormat="1"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3" xfId="0" applyFont="1" applyFill="1" applyBorder="1" applyAlignment="1">
      <alignment vertical="center" wrapText="1"/>
    </xf>
    <xf numFmtId="0" fontId="9" fillId="7" borderId="4" xfId="0" applyFont="1" applyFill="1" applyBorder="1" applyAlignment="1">
      <alignment vertical="center"/>
    </xf>
    <xf numFmtId="0" fontId="9" fillId="7" borderId="5" xfId="0" applyFont="1" applyFill="1" applyBorder="1" applyAlignment="1">
      <alignment vertical="center"/>
    </xf>
    <xf numFmtId="0" fontId="9" fillId="7" borderId="11" xfId="0" applyFont="1" applyFill="1" applyBorder="1" applyAlignment="1">
      <alignment vertical="center" wrapText="1"/>
    </xf>
    <xf numFmtId="0" fontId="9" fillId="7" borderId="12" xfId="0" applyFont="1" applyFill="1" applyBorder="1" applyAlignment="1">
      <alignment vertical="center" wrapText="1"/>
    </xf>
    <xf numFmtId="0" fontId="9" fillId="7" borderId="15" xfId="0" applyFont="1" applyFill="1" applyBorder="1" applyAlignment="1">
      <alignment vertical="center" wrapText="1"/>
    </xf>
    <xf numFmtId="0" fontId="9" fillId="7" borderId="4" xfId="0" applyFont="1" applyFill="1" applyBorder="1" applyAlignment="1">
      <alignment vertical="center" wrapText="1"/>
    </xf>
    <xf numFmtId="0" fontId="9" fillId="7" borderId="5" xfId="0" applyFont="1" applyFill="1" applyBorder="1" applyAlignment="1">
      <alignment vertical="center" wrapText="1"/>
    </xf>
    <xf numFmtId="0" fontId="9" fillId="7" borderId="6" xfId="0" applyFont="1" applyFill="1" applyBorder="1" applyAlignment="1">
      <alignment vertical="center" wrapText="1"/>
    </xf>
    <xf numFmtId="0" fontId="9" fillId="7" borderId="7" xfId="0" applyFont="1" applyFill="1" applyBorder="1" applyAlignment="1">
      <alignment vertical="center" wrapText="1"/>
    </xf>
    <xf numFmtId="0" fontId="9" fillId="7" borderId="13" xfId="0" applyFont="1" applyFill="1" applyBorder="1" applyAlignment="1">
      <alignmen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9" xfId="0" applyFont="1" applyFill="1" applyBorder="1" applyAlignment="1">
      <alignment horizontal="left" wrapText="1"/>
    </xf>
    <xf numFmtId="0" fontId="9" fillId="7" borderId="0" xfId="0" applyFont="1" applyFill="1" applyAlignment="1">
      <alignment horizontal="left" wrapText="1"/>
    </xf>
    <xf numFmtId="0" fontId="9" fillId="7" borderId="14" xfId="0" applyFont="1" applyFill="1" applyBorder="1" applyAlignment="1">
      <alignment horizontal="left" wrapText="1"/>
    </xf>
    <xf numFmtId="0" fontId="9" fillId="7" borderId="11" xfId="0" applyFont="1" applyFill="1" applyBorder="1" applyAlignment="1">
      <alignment horizontal="left" wrapText="1"/>
    </xf>
    <xf numFmtId="0" fontId="9" fillId="7" borderId="12" xfId="0" applyFont="1" applyFill="1" applyBorder="1" applyAlignment="1">
      <alignment horizontal="left" wrapText="1"/>
    </xf>
    <xf numFmtId="0" fontId="9" fillId="7" borderId="15" xfId="0" applyFont="1" applyFill="1" applyBorder="1" applyAlignment="1">
      <alignment horizontal="left" wrapText="1"/>
    </xf>
    <xf numFmtId="0" fontId="9" fillId="0" borderId="9" xfId="0" applyFont="1" applyBorder="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5" xfId="0" applyFont="1" applyBorder="1" applyAlignment="1">
      <alignment horizontal="left" wrapText="1"/>
    </xf>
    <xf numFmtId="0" fontId="9" fillId="0" borderId="9" xfId="0" applyFont="1" applyBorder="1" applyAlignment="1">
      <alignment wrapText="1"/>
    </xf>
    <xf numFmtId="0" fontId="9" fillId="0" borderId="14" xfId="0" applyFont="1" applyBorder="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BE00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916415</xdr:colOff>
      <xdr:row>3</xdr:row>
      <xdr:rowOff>83467</xdr:rowOff>
    </xdr:from>
    <xdr:to>
      <xdr:col>4</xdr:col>
      <xdr:colOff>490612</xdr:colOff>
      <xdr:row>38</xdr:row>
      <xdr:rowOff>85495</xdr:rowOff>
    </xdr:to>
    <xdr:sp macro="" textlink="">
      <xdr:nvSpPr>
        <xdr:cNvPr id="5" name="TextBox 4">
          <a:extLst>
            <a:ext uri="{FF2B5EF4-FFF2-40B4-BE49-F238E27FC236}">
              <a16:creationId xmlns:a16="http://schemas.microsoft.com/office/drawing/2014/main" id="{00000000-0008-0000-0000-000005000000}"/>
            </a:ext>
          </a:extLst>
        </xdr:cNvPr>
        <xdr:cNvSpPr txBox="1">
          <a:spLocks noChangeAspect="1"/>
        </xdr:cNvSpPr>
      </xdr:nvSpPr>
      <xdr:spPr>
        <a:xfrm rot="18656237">
          <a:off x="600900" y="4482032"/>
          <a:ext cx="7063228" cy="90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0</xdr:col>
      <xdr:colOff>330200</xdr:colOff>
      <xdr:row>1</xdr:row>
      <xdr:rowOff>0</xdr:rowOff>
    </xdr:from>
    <xdr:to>
      <xdr:col>1</xdr:col>
      <xdr:colOff>744601</xdr:colOff>
      <xdr:row>1</xdr:row>
      <xdr:rowOff>757301</xdr:rowOff>
    </xdr:to>
    <xdr:pic>
      <xdr:nvPicPr>
        <xdr:cNvPr id="4" name="Picture 1">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30200" y="190500"/>
          <a:ext cx="757301" cy="75730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1353050</xdr:colOff>
      <xdr:row>6</xdr:row>
      <xdr:rowOff>4169</xdr:rowOff>
    </xdr:from>
    <xdr:to>
      <xdr:col>5</xdr:col>
      <xdr:colOff>782138</xdr:colOff>
      <xdr:row>45</xdr:row>
      <xdr:rowOff>3767</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rot="18656237">
          <a:off x="377233" y="4250237"/>
          <a:ext cx="8564160" cy="253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268079</xdr:colOff>
      <xdr:row>53</xdr:row>
      <xdr:rowOff>172043</xdr:rowOff>
    </xdr:from>
    <xdr:to>
      <xdr:col>6</xdr:col>
      <xdr:colOff>241643</xdr:colOff>
      <xdr:row>81</xdr:row>
      <xdr:rowOff>93794</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rot="18656237">
          <a:off x="790080" y="15588543"/>
          <a:ext cx="9264188" cy="3275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196851</xdr:colOff>
      <xdr:row>87</xdr:row>
      <xdr:rowOff>177800</xdr:rowOff>
    </xdr:from>
    <xdr:to>
      <xdr:col>4</xdr:col>
      <xdr:colOff>1079501</xdr:colOff>
      <xdr:row>111</xdr:row>
      <xdr:rowOff>391361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rot="18656237">
          <a:off x="842545" y="31739306"/>
          <a:ext cx="6881061"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editAs="oneCell">
    <xdr:from>
      <xdr:col>1</xdr:col>
      <xdr:colOff>230188</xdr:colOff>
      <xdr:row>0</xdr:row>
      <xdr:rowOff>119062</xdr:rowOff>
    </xdr:from>
    <xdr:to>
      <xdr:col>3</xdr:col>
      <xdr:colOff>823119</xdr:colOff>
      <xdr:row>4</xdr:row>
      <xdr:rowOff>101890</xdr:rowOff>
    </xdr:to>
    <xdr:pic>
      <xdr:nvPicPr>
        <xdr:cNvPr id="2" name="Picture 1" descr="A black background with red text&#10;&#10;Description automatically generated">
          <a:extLst>
            <a:ext uri="{FF2B5EF4-FFF2-40B4-BE49-F238E27FC236}">
              <a16:creationId xmlns:a16="http://schemas.microsoft.com/office/drawing/2014/main" id="{CA5859D4-021C-4D7E-9BC0-3C9130C7A5E6}"/>
            </a:ext>
          </a:extLst>
        </xdr:cNvPr>
        <xdr:cNvPicPr>
          <a:picLocks noChangeAspect="1"/>
        </xdr:cNvPicPr>
      </xdr:nvPicPr>
      <xdr:blipFill>
        <a:blip xmlns:r="http://schemas.openxmlformats.org/officeDocument/2006/relationships" r:embed="rId1"/>
        <a:stretch>
          <a:fillRect/>
        </a:stretch>
      </xdr:blipFill>
      <xdr:spPr>
        <a:xfrm>
          <a:off x="333376" y="119062"/>
          <a:ext cx="2529681" cy="752766"/>
        </a:xfrm>
        <a:prstGeom prst="rect">
          <a:avLst/>
        </a:prstGeom>
      </xdr:spPr>
    </xdr:pic>
    <xdr:clientData/>
  </xdr:twoCellAnchor>
  <xdr:twoCellAnchor editAs="oneCell">
    <xdr:from>
      <xdr:col>2</xdr:col>
      <xdr:colOff>7937</xdr:colOff>
      <xdr:row>50</xdr:row>
      <xdr:rowOff>111126</xdr:rowOff>
    </xdr:from>
    <xdr:to>
      <xdr:col>3</xdr:col>
      <xdr:colOff>838993</xdr:colOff>
      <xdr:row>52</xdr:row>
      <xdr:rowOff>189205</xdr:rowOff>
    </xdr:to>
    <xdr:pic>
      <xdr:nvPicPr>
        <xdr:cNvPr id="3" name="Picture 2" descr="A black background with red text&#10;&#10;Description automatically generated">
          <a:extLst>
            <a:ext uri="{FF2B5EF4-FFF2-40B4-BE49-F238E27FC236}">
              <a16:creationId xmlns:a16="http://schemas.microsoft.com/office/drawing/2014/main" id="{2F9CCC22-846C-46FE-9EAB-E8236F2E49F7}"/>
            </a:ext>
          </a:extLst>
        </xdr:cNvPr>
        <xdr:cNvPicPr>
          <a:picLocks noChangeAspect="1"/>
        </xdr:cNvPicPr>
      </xdr:nvPicPr>
      <xdr:blipFill>
        <a:blip xmlns:r="http://schemas.openxmlformats.org/officeDocument/2006/relationships" r:embed="rId1"/>
        <a:stretch>
          <a:fillRect/>
        </a:stretch>
      </xdr:blipFill>
      <xdr:spPr>
        <a:xfrm>
          <a:off x="349250" y="11414126"/>
          <a:ext cx="2529681" cy="752766"/>
        </a:xfrm>
        <a:prstGeom prst="rect">
          <a:avLst/>
        </a:prstGeom>
      </xdr:spPr>
    </xdr:pic>
    <xdr:clientData/>
  </xdr:twoCellAnchor>
  <xdr:twoCellAnchor editAs="oneCell">
    <xdr:from>
      <xdr:col>2</xdr:col>
      <xdr:colOff>15875</xdr:colOff>
      <xdr:row>78</xdr:row>
      <xdr:rowOff>0</xdr:rowOff>
    </xdr:from>
    <xdr:to>
      <xdr:col>3</xdr:col>
      <xdr:colOff>846931</xdr:colOff>
      <xdr:row>81</xdr:row>
      <xdr:rowOff>141579</xdr:rowOff>
    </xdr:to>
    <xdr:pic>
      <xdr:nvPicPr>
        <xdr:cNvPr id="4" name="Picture 3" descr="A black background with red text&#10;&#10;Description automatically generated">
          <a:extLst>
            <a:ext uri="{FF2B5EF4-FFF2-40B4-BE49-F238E27FC236}">
              <a16:creationId xmlns:a16="http://schemas.microsoft.com/office/drawing/2014/main" id="{BE7684D8-753C-4FF3-BE03-E9B95D738BBA}"/>
            </a:ext>
          </a:extLst>
        </xdr:cNvPr>
        <xdr:cNvPicPr>
          <a:picLocks noChangeAspect="1"/>
        </xdr:cNvPicPr>
      </xdr:nvPicPr>
      <xdr:blipFill>
        <a:blip xmlns:r="http://schemas.openxmlformats.org/officeDocument/2006/relationships" r:embed="rId1"/>
        <a:stretch>
          <a:fillRect/>
        </a:stretch>
      </xdr:blipFill>
      <xdr:spPr>
        <a:xfrm>
          <a:off x="357188" y="21034375"/>
          <a:ext cx="2529681" cy="752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0"/>
  <sheetViews>
    <sheetView showGridLines="0" view="pageBreakPreview" topLeftCell="A2" zoomScale="69" zoomScaleNormal="100" zoomScaleSheetLayoutView="130" workbookViewId="0">
      <selection activeCell="E11" sqref="E11:F11"/>
    </sheetView>
  </sheetViews>
  <sheetFormatPr defaultColWidth="8.59765625" defaultRowHeight="14.4" x14ac:dyDescent="0.3"/>
  <cols>
    <col min="1" max="1" width="4.3984375" style="70" customWidth="1"/>
    <col min="2" max="2" width="23.8984375" style="70" customWidth="1"/>
    <col min="3" max="3" width="11.09765625" style="70" customWidth="1"/>
    <col min="4" max="4" width="19.09765625" style="70" customWidth="1"/>
    <col min="5" max="5" width="13.3984375" style="70" customWidth="1"/>
    <col min="6" max="6" width="37.3984375" style="70" customWidth="1"/>
    <col min="7" max="7" width="48" style="70" hidden="1" customWidth="1"/>
    <col min="8" max="8" width="46" style="70" hidden="1" customWidth="1"/>
    <col min="9" max="9" width="52.09765625" style="70" hidden="1" customWidth="1"/>
    <col min="10" max="10" width="56.69921875" style="70" hidden="1" customWidth="1"/>
    <col min="11" max="11" width="51.59765625" style="70" hidden="1" customWidth="1"/>
    <col min="12" max="12" width="40" style="70" hidden="1" customWidth="1"/>
    <col min="13" max="13" width="44" style="70" hidden="1" customWidth="1"/>
    <col min="14" max="14" width="54" style="70" customWidth="1"/>
    <col min="15" max="15" width="38.69921875" style="70" customWidth="1"/>
    <col min="16" max="16384" width="8.59765625" style="70"/>
  </cols>
  <sheetData>
    <row r="1" spans="1:13" x14ac:dyDescent="0.3">
      <c r="A1" s="105"/>
      <c r="B1" s="105"/>
      <c r="C1" s="105"/>
      <c r="D1" s="105"/>
      <c r="E1" s="105"/>
      <c r="F1" s="105"/>
      <c r="G1" s="105"/>
      <c r="K1" s="71" t="s">
        <v>72</v>
      </c>
      <c r="L1" s="72" t="s">
        <v>73</v>
      </c>
      <c r="M1" s="73">
        <v>0.15</v>
      </c>
    </row>
    <row r="2" spans="1:13" ht="75.05" customHeight="1" x14ac:dyDescent="0.3">
      <c r="A2" s="77"/>
      <c r="B2" s="82"/>
      <c r="C2" s="82"/>
      <c r="D2" s="82"/>
      <c r="E2" s="82"/>
      <c r="F2" s="82"/>
      <c r="G2" s="78"/>
      <c r="I2" s="74"/>
      <c r="K2" s="75" t="s">
        <v>74</v>
      </c>
      <c r="L2" s="75" t="s">
        <v>75</v>
      </c>
      <c r="M2" s="76">
        <v>3.4500000000000003E-2</v>
      </c>
    </row>
    <row r="3" spans="1:13" ht="15.55" x14ac:dyDescent="0.3">
      <c r="A3" s="77"/>
      <c r="B3" s="173" t="s">
        <v>130</v>
      </c>
      <c r="C3" s="174"/>
      <c r="D3" s="174"/>
      <c r="E3" s="174"/>
      <c r="F3" s="175"/>
      <c r="G3" s="78"/>
      <c r="K3" s="75" t="s">
        <v>76</v>
      </c>
      <c r="L3" s="75" t="s">
        <v>77</v>
      </c>
      <c r="M3" s="79">
        <f>E22*IF($E$21="YES",SUM(1,$M$1),1)</f>
        <v>3.4499999999999996E-2</v>
      </c>
    </row>
    <row r="4" spans="1:13" ht="15.55" x14ac:dyDescent="0.3">
      <c r="A4" s="77"/>
      <c r="B4" s="173" t="s">
        <v>78</v>
      </c>
      <c r="C4" s="174"/>
      <c r="D4" s="174"/>
      <c r="E4" s="174"/>
      <c r="F4" s="175"/>
      <c r="G4" s="78"/>
      <c r="K4" s="75" t="s">
        <v>79</v>
      </c>
      <c r="L4" s="75" t="s">
        <v>80</v>
      </c>
      <c r="M4" s="80">
        <f>MAX(0%,M2-M3)</f>
        <v>6.9388939039072284E-18</v>
      </c>
    </row>
    <row r="5" spans="1:13" x14ac:dyDescent="0.3">
      <c r="A5" s="77"/>
      <c r="B5" s="81"/>
      <c r="C5" s="82"/>
      <c r="D5" s="82"/>
      <c r="E5" s="82"/>
      <c r="F5" s="82"/>
      <c r="G5" s="78"/>
      <c r="K5" s="75" t="s">
        <v>81</v>
      </c>
    </row>
    <row r="6" spans="1:13" x14ac:dyDescent="0.3">
      <c r="A6" s="77"/>
      <c r="B6" s="81" t="s">
        <v>82</v>
      </c>
      <c r="C6" s="82"/>
      <c r="D6" s="82"/>
      <c r="E6" s="176">
        <f ca="1">TODAY()</f>
        <v>45754</v>
      </c>
      <c r="F6" s="176"/>
      <c r="G6" s="78"/>
      <c r="K6" s="75" t="s">
        <v>83</v>
      </c>
    </row>
    <row r="7" spans="1:13" x14ac:dyDescent="0.3">
      <c r="A7" s="77"/>
      <c r="B7" s="83"/>
      <c r="C7" s="82"/>
      <c r="D7" s="82"/>
      <c r="E7" s="84"/>
      <c r="F7" s="84"/>
      <c r="G7" s="78"/>
      <c r="K7" s="75" t="s">
        <v>84</v>
      </c>
    </row>
    <row r="8" spans="1:13" ht="30.7" customHeight="1" x14ac:dyDescent="0.3">
      <c r="A8" s="77"/>
      <c r="B8" s="177" t="str">
        <f ca="1">IF(TODAY()&gt;Output!K3,"Invalid Investment Quote. Please download the updated quote from https://ss.absa.co.za or contact us at aiss@absa.africa.","Investment Quote Validity: Valid from"&amp;" "&amp;TEXT(Output!K2,"dd mmmm yyyy")&amp;" until "&amp;TEXT(Output!K3,"dd mmmm yyyy"))</f>
        <v>Investment Quote Validity: Valid from 08 April 2025 until 05 May 2025</v>
      </c>
      <c r="C8" s="178"/>
      <c r="D8" s="178"/>
      <c r="E8" s="178"/>
      <c r="F8" s="179"/>
      <c r="G8" s="78"/>
      <c r="K8" s="75" t="s">
        <v>85</v>
      </c>
    </row>
    <row r="9" spans="1:13" x14ac:dyDescent="0.3">
      <c r="A9" s="77"/>
      <c r="B9" s="81"/>
      <c r="C9" s="82"/>
      <c r="D9" s="82"/>
      <c r="E9" s="82"/>
      <c r="F9" s="82"/>
      <c r="G9" s="78"/>
      <c r="K9" s="75" t="s">
        <v>86</v>
      </c>
    </row>
    <row r="10" spans="1:13" ht="15.55" x14ac:dyDescent="0.3">
      <c r="A10" s="77"/>
      <c r="B10" s="180" t="s">
        <v>87</v>
      </c>
      <c r="C10" s="181"/>
      <c r="D10" s="181"/>
      <c r="E10" s="181"/>
      <c r="F10" s="182"/>
      <c r="G10" s="78"/>
      <c r="K10" s="75"/>
    </row>
    <row r="11" spans="1:13" x14ac:dyDescent="0.3">
      <c r="A11" s="77"/>
      <c r="B11" s="169" t="s">
        <v>72</v>
      </c>
      <c r="C11" s="169"/>
      <c r="D11" s="170"/>
      <c r="E11" s="171"/>
      <c r="F11" s="172"/>
      <c r="G11" s="78"/>
    </row>
    <row r="12" spans="1:13" x14ac:dyDescent="0.3">
      <c r="A12" s="77"/>
      <c r="B12" s="183" t="s">
        <v>88</v>
      </c>
      <c r="C12" s="183"/>
      <c r="D12" s="184"/>
      <c r="E12" s="171"/>
      <c r="F12" s="172"/>
      <c r="G12" s="78"/>
    </row>
    <row r="13" spans="1:13" x14ac:dyDescent="0.3">
      <c r="A13" s="77"/>
      <c r="B13" s="169" t="s">
        <v>89</v>
      </c>
      <c r="C13" s="169"/>
      <c r="D13" s="170"/>
      <c r="E13" s="171"/>
      <c r="F13" s="172"/>
      <c r="G13" s="78"/>
      <c r="K13" s="71" t="s">
        <v>90</v>
      </c>
    </row>
    <row r="14" spans="1:13" x14ac:dyDescent="0.3">
      <c r="A14" s="77"/>
      <c r="B14" s="169" t="s">
        <v>91</v>
      </c>
      <c r="C14" s="169"/>
      <c r="D14" s="170"/>
      <c r="E14" s="185"/>
      <c r="F14" s="186"/>
      <c r="G14" s="78"/>
      <c r="K14" s="75" t="s">
        <v>92</v>
      </c>
    </row>
    <row r="15" spans="1:13" x14ac:dyDescent="0.3">
      <c r="A15" s="77"/>
      <c r="B15" s="81"/>
      <c r="C15" s="82"/>
      <c r="D15" s="82"/>
      <c r="E15" s="82"/>
      <c r="F15" s="85"/>
      <c r="G15" s="78"/>
      <c r="K15" s="75" t="s">
        <v>93</v>
      </c>
    </row>
    <row r="16" spans="1:13" ht="15.55" x14ac:dyDescent="0.3">
      <c r="A16" s="77"/>
      <c r="B16" s="180" t="s">
        <v>21</v>
      </c>
      <c r="C16" s="181"/>
      <c r="D16" s="181"/>
      <c r="E16" s="181"/>
      <c r="F16" s="182"/>
      <c r="G16" s="78"/>
    </row>
    <row r="17" spans="1:11" x14ac:dyDescent="0.3">
      <c r="A17" s="77"/>
      <c r="B17" s="170" t="s">
        <v>72</v>
      </c>
      <c r="C17" s="190"/>
      <c r="D17" s="191"/>
      <c r="E17" s="192"/>
      <c r="F17" s="193"/>
      <c r="G17" s="78"/>
    </row>
    <row r="18" spans="1:11" x14ac:dyDescent="0.3">
      <c r="A18" s="77"/>
      <c r="B18" s="170" t="s">
        <v>88</v>
      </c>
      <c r="C18" s="190"/>
      <c r="D18" s="191"/>
      <c r="E18" s="192"/>
      <c r="F18" s="193"/>
      <c r="G18" s="78"/>
    </row>
    <row r="19" spans="1:11" x14ac:dyDescent="0.3">
      <c r="A19" s="77"/>
      <c r="B19" s="170" t="s">
        <v>89</v>
      </c>
      <c r="C19" s="190"/>
      <c r="D19" s="191"/>
      <c r="E19" s="192"/>
      <c r="F19" s="193"/>
      <c r="G19" s="78"/>
    </row>
    <row r="20" spans="1:11" x14ac:dyDescent="0.3">
      <c r="A20" s="77"/>
      <c r="B20" s="170" t="s">
        <v>94</v>
      </c>
      <c r="C20" s="190"/>
      <c r="D20" s="191"/>
      <c r="E20" s="192"/>
      <c r="F20" s="193"/>
      <c r="G20" s="78"/>
    </row>
    <row r="21" spans="1:11" x14ac:dyDescent="0.3">
      <c r="A21" s="77"/>
      <c r="B21" s="170" t="s">
        <v>95</v>
      </c>
      <c r="C21" s="190"/>
      <c r="D21" s="191"/>
      <c r="E21" s="192" t="s">
        <v>92</v>
      </c>
      <c r="F21" s="193"/>
      <c r="G21" s="78"/>
      <c r="K21" s="86"/>
    </row>
    <row r="22" spans="1:11" x14ac:dyDescent="0.3">
      <c r="A22" s="77"/>
      <c r="B22" s="96" t="s">
        <v>96</v>
      </c>
      <c r="C22" s="97"/>
      <c r="D22" s="98"/>
      <c r="E22" s="164">
        <v>0.03</v>
      </c>
      <c r="F22" s="163"/>
      <c r="G22" s="78"/>
      <c r="K22" s="87"/>
    </row>
    <row r="23" spans="1:11" x14ac:dyDescent="0.3">
      <c r="A23" s="77"/>
      <c r="B23" s="82"/>
      <c r="C23" s="82"/>
      <c r="D23" s="82"/>
      <c r="E23" s="82"/>
      <c r="F23" s="88"/>
      <c r="G23" s="78"/>
      <c r="K23" s="89"/>
    </row>
    <row r="24" spans="1:11" ht="15.55" x14ac:dyDescent="0.3">
      <c r="A24" s="77"/>
      <c r="B24" s="187" t="s">
        <v>26</v>
      </c>
      <c r="C24" s="188"/>
      <c r="D24" s="188"/>
      <c r="E24" s="188"/>
      <c r="F24" s="189"/>
      <c r="G24" s="78"/>
    </row>
    <row r="25" spans="1:11" x14ac:dyDescent="0.3">
      <c r="A25" s="77"/>
      <c r="B25" s="96" t="s">
        <v>97</v>
      </c>
      <c r="C25" s="97"/>
      <c r="D25" s="97"/>
      <c r="E25" s="195">
        <v>100000</v>
      </c>
      <c r="F25" s="196"/>
      <c r="G25" s="78"/>
    </row>
    <row r="26" spans="1:11" x14ac:dyDescent="0.3">
      <c r="A26" s="77"/>
      <c r="B26" s="99" t="s">
        <v>98</v>
      </c>
      <c r="C26" s="100"/>
      <c r="D26" s="100"/>
      <c r="E26" s="197">
        <v>1</v>
      </c>
      <c r="F26" s="197"/>
      <c r="G26" s="78"/>
    </row>
    <row r="27" spans="1:11" x14ac:dyDescent="0.3">
      <c r="A27" s="77"/>
      <c r="B27" s="99" t="s">
        <v>99</v>
      </c>
      <c r="C27" s="100"/>
      <c r="D27" s="100"/>
      <c r="E27" s="198">
        <v>6.35</v>
      </c>
      <c r="F27" s="198"/>
      <c r="G27" s="78"/>
    </row>
    <row r="28" spans="1:11" x14ac:dyDescent="0.3">
      <c r="A28" s="77"/>
      <c r="B28" s="99" t="s">
        <v>100</v>
      </c>
      <c r="C28" s="100"/>
      <c r="D28" s="100"/>
      <c r="E28" s="199">
        <v>45790</v>
      </c>
      <c r="F28" s="200"/>
      <c r="G28" s="78"/>
    </row>
    <row r="29" spans="1:11" x14ac:dyDescent="0.3">
      <c r="A29" s="77"/>
      <c r="B29" s="96" t="s">
        <v>32</v>
      </c>
      <c r="C29" s="97"/>
      <c r="D29" s="98"/>
      <c r="E29" s="199">
        <f>E28+1</f>
        <v>45791</v>
      </c>
      <c r="F29" s="200"/>
      <c r="G29" s="78"/>
    </row>
    <row r="30" spans="1:11" x14ac:dyDescent="0.3">
      <c r="A30" s="77"/>
      <c r="B30" s="99" t="s">
        <v>101</v>
      </c>
      <c r="C30" s="100"/>
      <c r="D30" s="100"/>
      <c r="E30" s="199">
        <f>DATE(YEAR(E28)+5,MONTH(E28),DAY(E28))+1</f>
        <v>47617</v>
      </c>
      <c r="F30" s="200"/>
      <c r="G30" s="78"/>
    </row>
    <row r="31" spans="1:11" x14ac:dyDescent="0.3">
      <c r="A31" s="77"/>
      <c r="B31" s="101" t="s">
        <v>8</v>
      </c>
      <c r="C31" s="102"/>
      <c r="D31" s="102"/>
      <c r="E31" s="201" t="s">
        <v>129</v>
      </c>
      <c r="F31" s="202"/>
      <c r="G31" s="90"/>
    </row>
    <row r="32" spans="1:11" x14ac:dyDescent="0.3">
      <c r="A32" s="77"/>
      <c r="B32" s="96" t="s">
        <v>102</v>
      </c>
      <c r="C32" s="97"/>
      <c r="D32" s="98"/>
      <c r="E32" s="203" t="s">
        <v>103</v>
      </c>
      <c r="F32" s="204"/>
      <c r="G32" s="78"/>
    </row>
    <row r="33" spans="1:7" x14ac:dyDescent="0.3">
      <c r="A33" s="77"/>
      <c r="B33" s="96" t="s">
        <v>104</v>
      </c>
      <c r="C33" s="97"/>
      <c r="D33" s="98"/>
      <c r="E33" s="194">
        <v>5</v>
      </c>
      <c r="F33" s="194"/>
      <c r="G33" s="78"/>
    </row>
    <row r="34" spans="1:7" x14ac:dyDescent="0.3">
      <c r="A34" s="77"/>
      <c r="B34" s="91"/>
      <c r="C34" s="91"/>
      <c r="D34" s="91"/>
      <c r="E34" s="91"/>
      <c r="F34" s="92"/>
      <c r="G34" s="78"/>
    </row>
    <row r="35" spans="1:7" ht="15.55" x14ac:dyDescent="0.3">
      <c r="A35" s="77"/>
      <c r="B35" s="180" t="s">
        <v>105</v>
      </c>
      <c r="C35" s="181"/>
      <c r="D35" s="181"/>
      <c r="E35" s="181"/>
      <c r="F35" s="182"/>
      <c r="G35" s="78"/>
    </row>
    <row r="36" spans="1:7" x14ac:dyDescent="0.3">
      <c r="A36" s="77"/>
      <c r="B36" s="103" t="s">
        <v>106</v>
      </c>
      <c r="C36" s="103" t="s">
        <v>107</v>
      </c>
      <c r="D36" s="177" t="s">
        <v>40</v>
      </c>
      <c r="E36" s="178"/>
      <c r="F36" s="179"/>
      <c r="G36" s="78"/>
    </row>
    <row r="37" spans="1:7" ht="16.600000000000001" customHeight="1" x14ac:dyDescent="0.3">
      <c r="A37" s="77"/>
      <c r="B37" s="104" t="s">
        <v>108</v>
      </c>
      <c r="C37" s="152">
        <v>0.01</v>
      </c>
      <c r="D37" s="205" t="s">
        <v>109</v>
      </c>
      <c r="E37" s="206"/>
      <c r="F37" s="207"/>
      <c r="G37" s="78"/>
    </row>
    <row r="38" spans="1:7" ht="16.600000000000001" customHeight="1" x14ac:dyDescent="0.3">
      <c r="A38" s="77"/>
      <c r="B38" s="104" t="s">
        <v>110</v>
      </c>
      <c r="C38" s="152">
        <v>1.4999999999999999E-2</v>
      </c>
      <c r="D38" s="205" t="s">
        <v>111</v>
      </c>
      <c r="E38" s="206"/>
      <c r="F38" s="207"/>
      <c r="G38" s="78"/>
    </row>
    <row r="39" spans="1:7" ht="16.600000000000001" customHeight="1" x14ac:dyDescent="0.3">
      <c r="A39" s="77"/>
      <c r="B39" s="104" t="s">
        <v>112</v>
      </c>
      <c r="C39" s="165">
        <v>2.8750000000000001E-2</v>
      </c>
      <c r="D39" s="205" t="str">
        <f>IF($E$21="YES","Inclusive of VAT. Upfront as a percentage of the investment amount.","Exclusive of VAT. Upfront as a percentage of the investment amount.")</f>
        <v>Inclusive of VAT. Upfront as a percentage of the investment amount.</v>
      </c>
      <c r="E39" s="206"/>
      <c r="F39" s="207"/>
      <c r="G39" s="78"/>
    </row>
    <row r="40" spans="1:7" ht="15" thickBot="1" x14ac:dyDescent="0.35">
      <c r="A40" s="93"/>
      <c r="B40" s="94"/>
      <c r="C40" s="94"/>
      <c r="D40" s="94"/>
      <c r="E40" s="94"/>
      <c r="F40" s="94"/>
      <c r="G40" s="95"/>
    </row>
  </sheetData>
  <sheetProtection algorithmName="SHA-512" hashValue="WUs/PaMNZHB/dR3PAexo8am+z3xoI8nxb9mF3XCYOpyJRxPFWY4mD8StRGqoK53d0PiTIlxkZ3BnlBjrIKYL+g==" saltValue="NoCPlFn86N3HERppOGUINA==" spinCount="100000" sheet="1" selectLockedCells="1"/>
  <mergeCells count="39">
    <mergeCell ref="B35:F35"/>
    <mergeCell ref="D36:F36"/>
    <mergeCell ref="D37:F37"/>
    <mergeCell ref="D38:F38"/>
    <mergeCell ref="D39:F39"/>
    <mergeCell ref="E33:F33"/>
    <mergeCell ref="E25:F25"/>
    <mergeCell ref="E26:F26"/>
    <mergeCell ref="E27:F27"/>
    <mergeCell ref="E28:F28"/>
    <mergeCell ref="E29:F29"/>
    <mergeCell ref="E30:F30"/>
    <mergeCell ref="E31:F31"/>
    <mergeCell ref="E32:F32"/>
    <mergeCell ref="B24:F24"/>
    <mergeCell ref="B16:F16"/>
    <mergeCell ref="B17:D17"/>
    <mergeCell ref="E17:F17"/>
    <mergeCell ref="B18:D18"/>
    <mergeCell ref="E18:F18"/>
    <mergeCell ref="B19:D19"/>
    <mergeCell ref="E19:F19"/>
    <mergeCell ref="B20:D20"/>
    <mergeCell ref="E20:F20"/>
    <mergeCell ref="B21:D21"/>
    <mergeCell ref="E21:F21"/>
    <mergeCell ref="B12:D12"/>
    <mergeCell ref="E12:F12"/>
    <mergeCell ref="B13:D13"/>
    <mergeCell ref="E13:F13"/>
    <mergeCell ref="B14:D14"/>
    <mergeCell ref="E14:F14"/>
    <mergeCell ref="B11:D11"/>
    <mergeCell ref="E11:F11"/>
    <mergeCell ref="B3:F3"/>
    <mergeCell ref="B4:F4"/>
    <mergeCell ref="E6:F6"/>
    <mergeCell ref="B8:F8"/>
    <mergeCell ref="B10:F10"/>
  </mergeCells>
  <dataValidations count="5">
    <dataValidation type="list" allowBlank="1" showInputMessage="1" showErrorMessage="1" errorTitle="Vat Vendor Status" error="Please select Yes if broker is a vat vendor or No if not." promptTitle="Vat Vendor Status" prompt="Please select Yes if broker is a vat vendor or No if not." sqref="E21:F21" xr:uid="{00000000-0002-0000-0000-000000000000}">
      <formula1>$K$14:$K$15</formula1>
    </dataValidation>
    <dataValidation type="list" allowBlank="1" showInputMessage="1" showErrorMessage="1" sqref="E11:F11 E17:F17" xr:uid="{00000000-0002-0000-0000-000001000000}">
      <formula1>$K$1:$K$10</formula1>
    </dataValidation>
    <dataValidation type="custom" allowBlank="1" showErrorMessage="1" errorTitle="Minimum Investment Amount" error="Minimum investment amount is R100,000 " promptTitle="Minimum Investment Amount" prompt="Minimum investment amount is R100,000 " sqref="E25:F25" xr:uid="{00000000-0002-0000-0000-000002000000}">
      <formula1>E25&gt;=10000</formula1>
    </dataValidation>
    <dataValidation type="custom" allowBlank="1" showInputMessage="1" showErrorMessage="1" errorTitle="Net Participation Rate" error="The investment will not go ahead if the net participation rate is below 100%." sqref="E27:F27" xr:uid="{00000000-0002-0000-0000-000003000000}">
      <formula1>E27&gt;=100%</formula1>
    </dataValidation>
    <dataValidation type="decimal" allowBlank="1" showInputMessage="1" showErrorMessage="1" errorTitle="Financial Adviser Fee" error="The commission fee should be between 0% and 3.45% (Excluding VAT)._x000a_" promptTitle="Financial Adviser Fee on Growth " prompt="The commission fee should be between 0% and 3.45% (Excluding VAT)._x000a_" sqref="E22" xr:uid="{00000000-0002-0000-0000-000004000000}">
      <formula1>0</formula1>
      <formula2>0.4</formula2>
    </dataValidation>
  </dataValidations>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1:Q124"/>
  <sheetViews>
    <sheetView showGridLines="0" tabSelected="1" view="pageBreakPreview" topLeftCell="A13" zoomScale="74" zoomScaleNormal="100" zoomScaleSheetLayoutView="120" workbookViewId="0">
      <selection activeCell="G45" sqref="G45"/>
    </sheetView>
  </sheetViews>
  <sheetFormatPr defaultColWidth="9.09765625" defaultRowHeight="13.85" x14ac:dyDescent="0.25"/>
  <cols>
    <col min="1" max="1" width="1.59765625" style="1" customWidth="1"/>
    <col min="2" max="2" width="3.59765625" style="1" customWidth="1"/>
    <col min="3" max="3" width="25.3984375" style="1" customWidth="1"/>
    <col min="4" max="4" width="22.09765625" style="1" customWidth="1"/>
    <col min="5" max="5" width="24.3984375" style="1" customWidth="1"/>
    <col min="6" max="6" width="25.09765625" style="1" customWidth="1"/>
    <col min="7" max="7" width="17.3984375" style="1" customWidth="1"/>
    <col min="8" max="8" width="20.296875" style="1" hidden="1" customWidth="1"/>
    <col min="9" max="9" width="31.09765625" style="1" hidden="1" customWidth="1"/>
    <col min="10" max="10" width="35.3984375" style="1" hidden="1" customWidth="1"/>
    <col min="11" max="11" width="17.19921875" style="1" hidden="1" customWidth="1"/>
    <col min="12" max="12" width="18.796875" style="1" hidden="1" customWidth="1"/>
    <col min="13" max="13" width="17" style="1" hidden="1" customWidth="1"/>
    <col min="14" max="14" width="19.09765625" style="1" hidden="1" customWidth="1"/>
    <col min="15" max="15" width="38" style="1" customWidth="1"/>
    <col min="16" max="17" width="38" style="1" hidden="1" customWidth="1"/>
    <col min="18" max="18" width="40" style="1" customWidth="1"/>
    <col min="19" max="19" width="27" style="1" customWidth="1"/>
    <col min="20" max="20" width="25.296875" style="1" customWidth="1"/>
    <col min="21" max="21" width="28.8984375" style="1" customWidth="1"/>
    <col min="22" max="22" width="26.296875" style="1" customWidth="1"/>
    <col min="23" max="23" width="19.69921875" style="1" customWidth="1"/>
    <col min="24" max="24" width="23.3984375" style="1" customWidth="1"/>
    <col min="25" max="25" width="28.59765625" style="1" customWidth="1"/>
    <col min="26" max="26" width="27.3984375" style="1" customWidth="1"/>
    <col min="27" max="16384" width="9.09765625" style="1"/>
  </cols>
  <sheetData>
    <row r="1" spans="3:17" x14ac:dyDescent="0.25">
      <c r="M1" s="2" t="s">
        <v>0</v>
      </c>
      <c r="N1" s="3">
        <v>3</v>
      </c>
      <c r="P1" s="2" t="s">
        <v>1</v>
      </c>
      <c r="Q1" s="4">
        <v>7</v>
      </c>
    </row>
    <row r="2" spans="3:17" ht="16" customHeight="1" x14ac:dyDescent="0.25">
      <c r="C2" s="5"/>
      <c r="D2" s="5"/>
      <c r="E2" s="5"/>
      <c r="F2" s="5"/>
      <c r="G2" s="5"/>
      <c r="H2" s="5"/>
      <c r="I2" s="5"/>
      <c r="J2" s="6" t="s">
        <v>2</v>
      </c>
      <c r="K2" s="162">
        <v>45755</v>
      </c>
      <c r="M2" s="7" t="s">
        <v>3</v>
      </c>
      <c r="N2" s="8"/>
      <c r="P2" s="9" t="s">
        <v>4</v>
      </c>
      <c r="Q2" s="10"/>
    </row>
    <row r="3" spans="3:17" ht="16" customHeight="1" x14ac:dyDescent="0.3">
      <c r="C3" s="11"/>
      <c r="D3" s="12"/>
      <c r="E3" s="12"/>
      <c r="F3" s="12"/>
      <c r="G3" s="12"/>
      <c r="H3" s="12"/>
      <c r="I3" s="12"/>
      <c r="J3" s="6" t="s">
        <v>5</v>
      </c>
      <c r="K3" s="162">
        <v>45782</v>
      </c>
      <c r="M3" s="13">
        <v>1</v>
      </c>
      <c r="N3" s="14">
        <v>0</v>
      </c>
      <c r="P3" s="13">
        <v>1</v>
      </c>
      <c r="Q3" s="14">
        <v>0.3</v>
      </c>
    </row>
    <row r="4" spans="3:17" ht="15.55" x14ac:dyDescent="0.3">
      <c r="C4" s="12"/>
      <c r="D4" s="12"/>
      <c r="E4" s="12"/>
      <c r="F4" s="12"/>
      <c r="G4" s="12"/>
      <c r="H4" s="12"/>
      <c r="I4" s="12"/>
      <c r="J4" s="2" t="s">
        <v>6</v>
      </c>
      <c r="K4" s="15">
        <v>100000</v>
      </c>
      <c r="M4" s="13">
        <v>2</v>
      </c>
      <c r="N4" s="14">
        <v>0.05</v>
      </c>
      <c r="P4" s="13">
        <v>2</v>
      </c>
      <c r="Q4" s="14">
        <v>0.25</v>
      </c>
    </row>
    <row r="5" spans="3:17" ht="17.45" customHeight="1" x14ac:dyDescent="0.3">
      <c r="C5" s="12"/>
      <c r="D5" s="12"/>
      <c r="E5" s="12"/>
      <c r="F5" s="12"/>
      <c r="G5" s="12"/>
      <c r="H5" s="12"/>
      <c r="I5" s="12"/>
      <c r="J5" s="16" t="s">
        <v>7</v>
      </c>
      <c r="K5" s="17">
        <v>0</v>
      </c>
      <c r="M5" s="13">
        <v>3</v>
      </c>
      <c r="N5" s="14">
        <v>0.1</v>
      </c>
      <c r="P5" s="13">
        <v>3</v>
      </c>
      <c r="Q5" s="14">
        <v>0.2</v>
      </c>
    </row>
    <row r="6" spans="3:17" ht="18.75" customHeight="1" x14ac:dyDescent="0.35">
      <c r="C6" s="211" t="s">
        <v>136</v>
      </c>
      <c r="D6" s="211"/>
      <c r="E6" s="211"/>
      <c r="F6" s="211"/>
      <c r="G6" s="211"/>
      <c r="H6" s="12"/>
      <c r="I6" s="12"/>
      <c r="J6" s="16" t="s">
        <v>113</v>
      </c>
      <c r="K6" s="18">
        <v>1</v>
      </c>
      <c r="M6" s="13">
        <v>4</v>
      </c>
      <c r="N6" s="14">
        <v>0.15</v>
      </c>
      <c r="P6" s="13">
        <v>4</v>
      </c>
      <c r="Q6" s="14">
        <v>0.15</v>
      </c>
    </row>
    <row r="7" spans="3:17" ht="33" customHeight="1" x14ac:dyDescent="0.3">
      <c r="C7" s="212" t="s">
        <v>131</v>
      </c>
      <c r="D7" s="212"/>
      <c r="E7" s="212"/>
      <c r="F7" s="212"/>
      <c r="G7" s="212"/>
      <c r="H7" s="12"/>
      <c r="I7" s="12"/>
      <c r="J7" s="16" t="s">
        <v>114</v>
      </c>
      <c r="K7" s="18">
        <v>6.35</v>
      </c>
      <c r="M7" s="13">
        <v>5</v>
      </c>
      <c r="N7" s="14">
        <v>0.2</v>
      </c>
      <c r="P7" s="13">
        <v>5</v>
      </c>
      <c r="Q7" s="14">
        <v>0.1</v>
      </c>
    </row>
    <row r="8" spans="3:17" ht="12.7" customHeight="1" x14ac:dyDescent="0.3">
      <c r="C8" s="50"/>
      <c r="D8" s="50"/>
      <c r="E8" s="50"/>
      <c r="F8" s="50"/>
      <c r="G8" s="50"/>
      <c r="H8" s="12"/>
      <c r="I8" s="12"/>
      <c r="J8" s="16"/>
      <c r="K8" s="18"/>
      <c r="M8" s="13">
        <v>6</v>
      </c>
      <c r="N8" s="14">
        <v>0.25</v>
      </c>
      <c r="P8" s="13">
        <v>6</v>
      </c>
      <c r="Q8" s="14">
        <v>0.05</v>
      </c>
    </row>
    <row r="9" spans="3:17" ht="33" customHeight="1" x14ac:dyDescent="0.3">
      <c r="C9" s="213" t="s">
        <v>132</v>
      </c>
      <c r="D9" s="213"/>
      <c r="E9" s="213"/>
      <c r="F9" s="213"/>
      <c r="G9" s="213"/>
      <c r="H9" s="12"/>
      <c r="I9" s="12"/>
      <c r="J9" s="16" t="s">
        <v>8</v>
      </c>
      <c r="K9" s="19" t="s">
        <v>115</v>
      </c>
      <c r="M9" s="13">
        <v>7</v>
      </c>
      <c r="N9" s="14">
        <v>0.3</v>
      </c>
      <c r="P9" s="13">
        <v>7</v>
      </c>
      <c r="Q9" s="14">
        <v>0</v>
      </c>
    </row>
    <row r="10" spans="3:17" ht="15.55" x14ac:dyDescent="0.3">
      <c r="C10" s="40"/>
      <c r="D10" s="40"/>
      <c r="E10" s="40"/>
      <c r="F10" s="40"/>
      <c r="G10" s="40"/>
      <c r="H10" s="12"/>
      <c r="I10" s="12"/>
      <c r="J10" s="16" t="s">
        <v>9</v>
      </c>
      <c r="K10" s="18">
        <v>0.12</v>
      </c>
      <c r="M10" s="13">
        <v>8</v>
      </c>
      <c r="N10" s="14">
        <v>0.35</v>
      </c>
      <c r="P10" s="13">
        <v>8</v>
      </c>
      <c r="Q10" s="14">
        <v>-0.05</v>
      </c>
    </row>
    <row r="11" spans="3:17" ht="15.55" x14ac:dyDescent="0.3">
      <c r="C11" s="214" t="s">
        <v>11</v>
      </c>
      <c r="D11" s="214"/>
      <c r="E11" s="214"/>
      <c r="F11" s="214"/>
      <c r="G11" s="214"/>
      <c r="H11" s="12"/>
      <c r="I11" s="12"/>
      <c r="J11" s="16" t="s">
        <v>10</v>
      </c>
      <c r="K11" s="18">
        <v>0.6</v>
      </c>
      <c r="M11" s="13">
        <v>9</v>
      </c>
      <c r="N11" s="14">
        <v>0.4</v>
      </c>
      <c r="P11" s="13">
        <v>9</v>
      </c>
      <c r="Q11" s="14">
        <v>-0.1</v>
      </c>
    </row>
    <row r="12" spans="3:17" ht="45.8" customHeight="1" x14ac:dyDescent="0.3">
      <c r="C12" s="215" t="s">
        <v>140</v>
      </c>
      <c r="D12" s="215"/>
      <c r="E12" s="215"/>
      <c r="F12" s="215"/>
      <c r="G12" s="215"/>
      <c r="H12" s="12"/>
      <c r="I12" s="12"/>
      <c r="M12" s="13">
        <v>10</v>
      </c>
      <c r="N12" s="14">
        <v>0.45</v>
      </c>
      <c r="P12" s="13">
        <v>10</v>
      </c>
      <c r="Q12" s="14">
        <v>-0.15</v>
      </c>
    </row>
    <row r="13" spans="3:17" ht="15.55" x14ac:dyDescent="0.3">
      <c r="C13" s="21"/>
      <c r="D13" s="21"/>
      <c r="E13" s="21"/>
      <c r="F13" s="21"/>
      <c r="G13" s="21"/>
      <c r="H13" s="12"/>
      <c r="I13" s="12"/>
      <c r="J13" s="20" t="s">
        <v>3</v>
      </c>
      <c r="K13" s="20" t="s">
        <v>12</v>
      </c>
      <c r="M13" s="13">
        <v>11</v>
      </c>
      <c r="N13" s="14">
        <v>0.5</v>
      </c>
      <c r="P13" s="13">
        <v>11</v>
      </c>
      <c r="Q13" s="14">
        <v>-0.2</v>
      </c>
    </row>
    <row r="14" spans="3:17" ht="32.25" customHeight="1" x14ac:dyDescent="0.3">
      <c r="C14" s="208" t="str">
        <f ca="1">IF(TODAY()&gt;K3,"Invalid Investment Quote. Please download the updated quote from https://ss.absa.co.za or contact us at aiss@absa.africa.","Investment Quote Validity: Valid from"&amp;" "&amp;TEXT(K2,"dd mmmm yyyy")&amp;" until "&amp;TEXT(K3,"dd mmmm yyyy"))</f>
        <v>Investment Quote Validity: Valid from 08 April 2025 until 05 May 2025</v>
      </c>
      <c r="D14" s="209"/>
      <c r="E14" s="209"/>
      <c r="F14" s="209"/>
      <c r="G14" s="210"/>
      <c r="H14" s="12"/>
      <c r="I14" s="12"/>
      <c r="J14" s="22">
        <v>0</v>
      </c>
      <c r="K14" s="23">
        <v>0</v>
      </c>
      <c r="M14" s="13">
        <v>12</v>
      </c>
      <c r="N14" s="14">
        <v>0.55000000000000004</v>
      </c>
      <c r="P14" s="13">
        <v>12</v>
      </c>
      <c r="Q14" s="14">
        <v>-0.25</v>
      </c>
    </row>
    <row r="15" spans="3:17" ht="15.55" x14ac:dyDescent="0.3">
      <c r="C15" s="25"/>
      <c r="D15" s="25"/>
      <c r="E15" s="25"/>
      <c r="F15" s="25"/>
      <c r="G15" s="25"/>
      <c r="H15" s="12"/>
      <c r="I15" s="12"/>
      <c r="J15" s="23">
        <v>0.2</v>
      </c>
      <c r="K15" s="24">
        <f>$K$8</f>
        <v>0</v>
      </c>
      <c r="M15" s="13">
        <v>13</v>
      </c>
      <c r="N15" s="14">
        <v>0.6</v>
      </c>
      <c r="P15" s="13">
        <v>13</v>
      </c>
      <c r="Q15" s="14">
        <v>-0.3</v>
      </c>
    </row>
    <row r="16" spans="3:17" ht="15.55" x14ac:dyDescent="0.3">
      <c r="C16" s="180" t="s">
        <v>13</v>
      </c>
      <c r="D16" s="181"/>
      <c r="E16" s="181"/>
      <c r="F16" s="181"/>
      <c r="G16" s="182"/>
      <c r="H16" s="12"/>
      <c r="I16" s="12"/>
      <c r="J16" s="26"/>
      <c r="M16" s="13">
        <v>14</v>
      </c>
      <c r="N16" s="14">
        <v>0.65</v>
      </c>
    </row>
    <row r="17" spans="3:14" ht="15.55" x14ac:dyDescent="0.3">
      <c r="C17" s="106" t="s">
        <v>15</v>
      </c>
      <c r="D17" s="107"/>
      <c r="E17" s="108"/>
      <c r="F17" s="108"/>
      <c r="G17" s="153">
        <f ca="1">IF(TODAY()&gt;K3,"",Input!$E$6)</f>
        <v>45754</v>
      </c>
      <c r="H17" s="12"/>
      <c r="I17" s="12"/>
      <c r="J17" s="27" t="s">
        <v>3</v>
      </c>
      <c r="K17" s="27" t="s">
        <v>14</v>
      </c>
      <c r="M17" s="13">
        <v>15</v>
      </c>
      <c r="N17" s="14">
        <v>0.7</v>
      </c>
    </row>
    <row r="18" spans="3:14" ht="15.55" x14ac:dyDescent="0.3">
      <c r="C18" s="109" t="s">
        <v>16</v>
      </c>
      <c r="D18" s="110"/>
      <c r="E18" s="111"/>
      <c r="F18" s="111"/>
      <c r="G18" s="154" t="str">
        <f ca="1">IF(TODAY()&gt;K3,"",Input!$E$11&amp;" "&amp;Input!$E$12&amp;" "&amp;Input!$E$13)</f>
        <v xml:space="preserve">  </v>
      </c>
      <c r="H18" s="12"/>
      <c r="I18" s="12"/>
      <c r="J18" s="28">
        <v>0</v>
      </c>
      <c r="K18" s="28">
        <v>0</v>
      </c>
    </row>
    <row r="19" spans="3:14" ht="15.55" x14ac:dyDescent="0.3">
      <c r="C19" s="109" t="s">
        <v>17</v>
      </c>
      <c r="D19" s="110"/>
      <c r="E19" s="111"/>
      <c r="F19" s="111"/>
      <c r="G19" s="155">
        <f ca="1">IF(TODAY()&gt;K3,"",Input!$E$14)</f>
        <v>0</v>
      </c>
      <c r="H19" s="12"/>
      <c r="I19" s="12"/>
      <c r="J19" s="28">
        <f>$K$11</f>
        <v>0.6</v>
      </c>
      <c r="K19" s="28">
        <f>$K$10</f>
        <v>0.12</v>
      </c>
    </row>
    <row r="20" spans="3:14" ht="15.55" x14ac:dyDescent="0.3">
      <c r="C20" s="109" t="s">
        <v>18</v>
      </c>
      <c r="D20" s="110"/>
      <c r="E20" s="111"/>
      <c r="F20" s="111"/>
      <c r="G20" s="156" t="str">
        <f ca="1">IF(TODAY()&gt;K3,"",Input!$E$33&amp;" Years")</f>
        <v>5 Years</v>
      </c>
      <c r="H20" s="12"/>
      <c r="I20" s="12"/>
      <c r="J20" s="29"/>
    </row>
    <row r="21" spans="3:14" ht="15.55" x14ac:dyDescent="0.3">
      <c r="C21" s="109" t="s">
        <v>19</v>
      </c>
      <c r="D21" s="110"/>
      <c r="E21" s="111"/>
      <c r="F21" s="111"/>
      <c r="G21" s="157">
        <f>Input!E28</f>
        <v>45790</v>
      </c>
      <c r="H21" s="12"/>
      <c r="I21" s="12"/>
      <c r="J21" s="30"/>
    </row>
    <row r="22" spans="3:14" ht="15.55" x14ac:dyDescent="0.3">
      <c r="C22" s="112" t="s">
        <v>20</v>
      </c>
      <c r="D22" s="113"/>
      <c r="E22" s="114"/>
      <c r="F22" s="114"/>
      <c r="G22" s="158">
        <f>Input!E30</f>
        <v>47617</v>
      </c>
      <c r="H22" s="12"/>
      <c r="I22" s="32"/>
      <c r="J22" s="31"/>
    </row>
    <row r="23" spans="3:14" ht="15.55" x14ac:dyDescent="0.3">
      <c r="C23" s="33"/>
      <c r="D23" s="33"/>
      <c r="E23" s="33"/>
      <c r="F23" s="33"/>
      <c r="G23" s="34"/>
      <c r="H23" s="12"/>
      <c r="I23" s="32"/>
      <c r="J23" s="31"/>
    </row>
    <row r="24" spans="3:14" ht="15.55" x14ac:dyDescent="0.3">
      <c r="C24" s="180" t="s">
        <v>21</v>
      </c>
      <c r="D24" s="181"/>
      <c r="E24" s="181"/>
      <c r="F24" s="181"/>
      <c r="G24" s="182"/>
      <c r="H24" s="12"/>
      <c r="I24" s="32"/>
      <c r="J24" s="34"/>
    </row>
    <row r="25" spans="3:14" ht="15.55" x14ac:dyDescent="0.3">
      <c r="C25" s="115" t="s">
        <v>22</v>
      </c>
      <c r="D25" s="111"/>
      <c r="E25" s="111"/>
      <c r="F25" s="116"/>
      <c r="G25" s="159" t="str">
        <f ca="1">IF(TODAY()&gt;K3,"",Input!$E$17&amp;" "&amp;Input!$E$18&amp;" "&amp;Input!$E$19)</f>
        <v xml:space="preserve">  </v>
      </c>
      <c r="H25" s="12"/>
      <c r="I25" s="32"/>
      <c r="J25" s="35"/>
    </row>
    <row r="26" spans="3:14" ht="15.55" x14ac:dyDescent="0.3">
      <c r="C26" s="115" t="s">
        <v>23</v>
      </c>
      <c r="D26" s="111"/>
      <c r="E26" s="111"/>
      <c r="F26" s="116"/>
      <c r="G26" s="159" t="str">
        <f ca="1">IF(TODAY()&gt;K3,"",Input!$E$20&amp;"")</f>
        <v/>
      </c>
      <c r="H26" s="12"/>
      <c r="I26" s="12"/>
      <c r="J26" s="37"/>
    </row>
    <row r="27" spans="3:14" ht="15.55" x14ac:dyDescent="0.3">
      <c r="C27" s="115" t="s">
        <v>24</v>
      </c>
      <c r="D27" s="111"/>
      <c r="E27" s="111"/>
      <c r="F27" s="116"/>
      <c r="G27" s="160">
        <f>Input!C39</f>
        <v>2.8750000000000001E-2</v>
      </c>
      <c r="H27" s="12"/>
      <c r="I27" s="12"/>
      <c r="J27" s="38"/>
    </row>
    <row r="28" spans="3:14" ht="15.55" x14ac:dyDescent="0.3">
      <c r="C28" s="117" t="s">
        <v>25</v>
      </c>
      <c r="D28" s="114"/>
      <c r="E28" s="114"/>
      <c r="F28" s="118"/>
      <c r="G28" s="161">
        <f>IFERROR($G$27*Input!E25,"")</f>
        <v>2875</v>
      </c>
      <c r="H28" s="12"/>
      <c r="I28" s="12"/>
      <c r="J28" s="37"/>
    </row>
    <row r="29" spans="3:14" ht="15.55" x14ac:dyDescent="0.3">
      <c r="C29" s="40"/>
      <c r="D29" s="33"/>
      <c r="E29" s="33"/>
      <c r="F29" s="33"/>
      <c r="G29" s="33"/>
      <c r="H29" s="12"/>
      <c r="I29" s="12"/>
      <c r="J29" s="39"/>
    </row>
    <row r="30" spans="3:14" ht="15.55" x14ac:dyDescent="0.3">
      <c r="C30" s="180" t="s">
        <v>26</v>
      </c>
      <c r="D30" s="181"/>
      <c r="E30" s="181"/>
      <c r="F30" s="181"/>
      <c r="G30" s="182"/>
      <c r="H30" s="12"/>
      <c r="I30" s="12"/>
      <c r="J30" s="33"/>
    </row>
    <row r="31" spans="3:14" ht="15.55" x14ac:dyDescent="0.3">
      <c r="C31" s="119" t="s">
        <v>27</v>
      </c>
      <c r="D31" s="120"/>
      <c r="E31" s="120"/>
      <c r="F31" s="120"/>
      <c r="G31" s="121">
        <f>Input!E25</f>
        <v>100000</v>
      </c>
      <c r="H31" s="12"/>
      <c r="I31" s="12"/>
      <c r="J31" s="35"/>
    </row>
    <row r="32" spans="3:14" ht="15.7" customHeight="1" x14ac:dyDescent="0.3">
      <c r="C32" s="216"/>
      <c r="D32" s="217"/>
      <c r="E32" s="217"/>
      <c r="F32" s="217"/>
      <c r="G32" s="218"/>
      <c r="H32" s="12"/>
      <c r="I32" s="12"/>
      <c r="J32" s="41"/>
    </row>
    <row r="33" spans="3:11" ht="15.55" x14ac:dyDescent="0.3">
      <c r="C33" s="42"/>
      <c r="D33" s="42"/>
      <c r="E33" s="42"/>
      <c r="F33" s="42"/>
      <c r="G33" s="42"/>
      <c r="H33" s="12"/>
      <c r="I33" s="12"/>
      <c r="J33" s="26"/>
    </row>
    <row r="34" spans="3:11" ht="15.55" x14ac:dyDescent="0.3">
      <c r="C34" s="180" t="s">
        <v>30</v>
      </c>
      <c r="D34" s="181"/>
      <c r="E34" s="181"/>
      <c r="F34" s="181"/>
      <c r="G34" s="182"/>
      <c r="H34" s="12"/>
      <c r="I34" s="12"/>
      <c r="J34" s="42"/>
    </row>
    <row r="35" spans="3:11" ht="15.55" x14ac:dyDescent="0.3">
      <c r="C35" s="127" t="s">
        <v>28</v>
      </c>
      <c r="D35" s="128"/>
      <c r="E35" s="128"/>
      <c r="F35" s="128"/>
      <c r="G35" s="123">
        <f>IFERROR($G$31/1,"")</f>
        <v>100000</v>
      </c>
      <c r="H35" s="12"/>
      <c r="I35" s="12"/>
      <c r="J35" s="35"/>
    </row>
    <row r="36" spans="3:11" ht="15.55" x14ac:dyDescent="0.3">
      <c r="C36" s="129" t="s">
        <v>31</v>
      </c>
      <c r="D36" s="130"/>
      <c r="E36" s="130"/>
      <c r="F36" s="130"/>
      <c r="G36" s="126">
        <f>$G$35</f>
        <v>100000</v>
      </c>
      <c r="H36" s="12"/>
      <c r="I36" s="12"/>
      <c r="J36" s="39"/>
    </row>
    <row r="37" spans="3:11" ht="15.55" x14ac:dyDescent="0.3">
      <c r="C37" s="129" t="s">
        <v>8</v>
      </c>
      <c r="D37" s="130"/>
      <c r="E37" s="130"/>
      <c r="F37" s="130"/>
      <c r="G37" s="126" t="str">
        <f>K9</f>
        <v xml:space="preserve"> BNP Paribas Multi-asset Global Diversified Index</v>
      </c>
      <c r="H37" s="12"/>
      <c r="I37" s="12"/>
      <c r="J37" s="39"/>
    </row>
    <row r="38" spans="3:11" ht="15.55" x14ac:dyDescent="0.3">
      <c r="C38" s="129" t="s">
        <v>32</v>
      </c>
      <c r="D38" s="130"/>
      <c r="E38" s="130"/>
      <c r="F38" s="130"/>
      <c r="G38" s="124">
        <f>Input!E29</f>
        <v>45791</v>
      </c>
      <c r="H38" s="12"/>
      <c r="I38" s="12"/>
      <c r="J38" s="39"/>
    </row>
    <row r="39" spans="3:11" ht="15.55" x14ac:dyDescent="0.3">
      <c r="C39" s="129" t="s">
        <v>29</v>
      </c>
      <c r="D39" s="130"/>
      <c r="E39" s="130"/>
      <c r="F39" s="130"/>
      <c r="G39" s="124">
        <f>Input!E30</f>
        <v>47617</v>
      </c>
      <c r="H39" s="12"/>
      <c r="I39" s="12"/>
      <c r="J39" s="29"/>
    </row>
    <row r="40" spans="3:11" ht="15.55" x14ac:dyDescent="0.3">
      <c r="C40" s="129" t="str">
        <f>$J$6</f>
        <v>Maximum Index Performance</v>
      </c>
      <c r="D40" s="130"/>
      <c r="E40" s="130"/>
      <c r="F40" s="130"/>
      <c r="G40" s="125">
        <f>$K$6</f>
        <v>1</v>
      </c>
      <c r="H40" s="12"/>
      <c r="I40" s="12"/>
      <c r="J40" s="29"/>
    </row>
    <row r="41" spans="3:11" ht="15.55" x14ac:dyDescent="0.3">
      <c r="C41" s="129" t="str">
        <f>$J$7</f>
        <v>Participation Rate</v>
      </c>
      <c r="D41" s="130"/>
      <c r="E41" s="130"/>
      <c r="F41" s="130"/>
      <c r="G41" s="125">
        <f>Input!E27</f>
        <v>6.35</v>
      </c>
      <c r="H41" s="12"/>
      <c r="I41" s="12"/>
      <c r="J41" s="39"/>
    </row>
    <row r="42" spans="3:11" ht="15.55" x14ac:dyDescent="0.3">
      <c r="C42" s="129" t="s">
        <v>33</v>
      </c>
      <c r="D42" s="130"/>
      <c r="E42" s="130"/>
      <c r="F42" s="130"/>
      <c r="G42" s="126" t="str">
        <f ca="1">IF(TODAY()&gt;K3,"",Input!$E$32)</f>
        <v>Market Linked</v>
      </c>
      <c r="H42" s="12"/>
      <c r="I42" s="12"/>
      <c r="J42" s="39"/>
    </row>
    <row r="43" spans="3:11" ht="15.55" x14ac:dyDescent="0.3">
      <c r="C43" s="119" t="s">
        <v>138</v>
      </c>
      <c r="D43" s="130"/>
      <c r="E43" s="130"/>
      <c r="F43" s="130"/>
      <c r="G43" s="125">
        <f>MAX(G45,0%)*G41</f>
        <v>3.1749999999999998</v>
      </c>
      <c r="H43" s="12"/>
      <c r="I43" s="37"/>
      <c r="J43" s="37"/>
    </row>
    <row r="44" spans="3:11" ht="15.55" x14ac:dyDescent="0.3">
      <c r="C44" s="119" t="s">
        <v>133</v>
      </c>
      <c r="D44" s="130"/>
      <c r="E44" s="130"/>
      <c r="F44" s="130"/>
      <c r="G44" s="126">
        <f ca="1">IF(TODAY()&gt;$K$3,"",IFERROR($G$35*SUM(1,$G$43),""))</f>
        <v>417500</v>
      </c>
      <c r="H44" s="12"/>
      <c r="I44" s="12"/>
      <c r="J44" s="39"/>
      <c r="K44" s="44"/>
    </row>
    <row r="45" spans="3:11" ht="15.7" customHeight="1" x14ac:dyDescent="0.3">
      <c r="C45" s="45" t="s">
        <v>34</v>
      </c>
      <c r="D45" s="43"/>
      <c r="E45" s="43"/>
      <c r="F45" s="43"/>
      <c r="G45" s="168">
        <v>0.5</v>
      </c>
      <c r="H45" s="12"/>
      <c r="I45" s="12"/>
      <c r="J45" s="39"/>
    </row>
    <row r="46" spans="3:11" ht="16.600000000000001" customHeight="1" x14ac:dyDescent="0.3">
      <c r="C46" s="36" t="str">
        <f>IF(G46&lt;=0,"USDZAR (Appreciation)", "USDZAR (Depreciation)")</f>
        <v>USDZAR (Appreciation)</v>
      </c>
      <c r="D46" s="43"/>
      <c r="E46" s="43"/>
      <c r="F46" s="43"/>
      <c r="G46" s="168">
        <v>0</v>
      </c>
      <c r="H46" s="12"/>
      <c r="I46" s="12"/>
      <c r="J46" s="46"/>
    </row>
    <row r="47" spans="3:11" ht="16.600000000000001" customHeight="1" x14ac:dyDescent="0.3">
      <c r="C47" s="36" t="s">
        <v>137</v>
      </c>
      <c r="D47" s="43"/>
      <c r="E47" s="43"/>
      <c r="F47" s="43"/>
      <c r="G47" s="166">
        <f>SUM(1,G46)*(G43)</f>
        <v>3.1749999999999998</v>
      </c>
      <c r="H47" s="12"/>
      <c r="I47" s="12"/>
      <c r="J47" s="46"/>
    </row>
    <row r="48" spans="3:11" ht="16.600000000000001" customHeight="1" x14ac:dyDescent="0.3">
      <c r="C48" s="36" t="s">
        <v>139</v>
      </c>
      <c r="D48" s="43"/>
      <c r="E48" s="43"/>
      <c r="F48" s="43"/>
      <c r="G48" s="167">
        <f>SUM(G36,G36*G47)</f>
        <v>417500</v>
      </c>
      <c r="H48" s="12"/>
      <c r="I48" s="12"/>
      <c r="J48" s="47"/>
    </row>
    <row r="49" spans="3:10" ht="35.299999999999997" customHeight="1" x14ac:dyDescent="0.3">
      <c r="C49" s="216" t="s">
        <v>128</v>
      </c>
      <c r="D49" s="217"/>
      <c r="E49" s="217"/>
      <c r="F49" s="217"/>
      <c r="G49" s="218"/>
      <c r="H49" s="12"/>
      <c r="I49" s="12"/>
      <c r="J49" s="47"/>
    </row>
    <row r="50" spans="3:10" ht="15.55" x14ac:dyDescent="0.3">
      <c r="C50" s="42"/>
      <c r="D50" s="42"/>
      <c r="E50" s="42"/>
      <c r="F50" s="42"/>
      <c r="G50" s="42"/>
      <c r="H50" s="12"/>
      <c r="I50" s="12"/>
      <c r="J50" s="26"/>
    </row>
    <row r="51" spans="3:10" ht="25.5" customHeight="1" x14ac:dyDescent="0.3">
      <c r="C51" s="42"/>
      <c r="D51" s="42"/>
      <c r="E51" s="42"/>
      <c r="F51" s="42"/>
      <c r="G51" s="42"/>
      <c r="H51" s="12"/>
      <c r="I51" s="12"/>
      <c r="J51" s="42"/>
    </row>
    <row r="52" spans="3:10" ht="27.95" customHeight="1" x14ac:dyDescent="0.3">
      <c r="C52" s="42"/>
      <c r="D52" s="42"/>
      <c r="E52" s="42"/>
      <c r="F52" s="42"/>
      <c r="G52" s="42"/>
      <c r="H52" s="42"/>
      <c r="I52" s="12"/>
      <c r="J52" s="42"/>
    </row>
    <row r="53" spans="3:10" ht="26.1" customHeight="1" x14ac:dyDescent="0.3">
      <c r="C53" s="48"/>
      <c r="D53" s="130"/>
      <c r="E53" s="49"/>
      <c r="F53" s="49"/>
      <c r="G53" s="49"/>
      <c r="H53" s="12"/>
      <c r="I53" s="12"/>
      <c r="J53" s="42"/>
    </row>
    <row r="54" spans="3:10" ht="15.55" x14ac:dyDescent="0.3">
      <c r="C54" s="219" t="s">
        <v>35</v>
      </c>
      <c r="D54" s="220"/>
      <c r="E54" s="220"/>
      <c r="F54" s="220"/>
      <c r="G54" s="221"/>
      <c r="H54" s="12"/>
      <c r="I54" s="12"/>
      <c r="J54" s="49"/>
    </row>
    <row r="55" spans="3:10" ht="15.7" customHeight="1" x14ac:dyDescent="0.3">
      <c r="C55" s="222" t="s">
        <v>36</v>
      </c>
      <c r="D55" s="223"/>
      <c r="E55" s="223"/>
      <c r="F55" s="223"/>
      <c r="G55" s="224"/>
      <c r="H55" s="12"/>
      <c r="I55" s="12"/>
      <c r="J55" s="35"/>
    </row>
    <row r="56" spans="3:10" ht="30.85" customHeight="1" x14ac:dyDescent="0.3">
      <c r="C56" s="228" t="str">
        <f>"'1. The final index level will be the average of the last seven months recorded index levels to maturity. The index return is calculated by multiplying the positive index performance by the "&amp;TEXT($K$7,"0.00%")&amp;" "&amp;TEXT($J$7,0)&amp;" further enhanced by FX."</f>
        <v>'1. The final index level will be the average of the last seven months recorded index levels to maturity. The index return is calculated by multiplying the positive index performance by the 635.00% Participation Rate further enhanced by FX.</v>
      </c>
      <c r="D56" s="229"/>
      <c r="E56" s="229"/>
      <c r="F56" s="229"/>
      <c r="G56" s="230"/>
      <c r="H56" s="12"/>
      <c r="I56" s="12"/>
      <c r="J56" s="50"/>
    </row>
    <row r="57" spans="3:10" ht="17.149999999999999" customHeight="1" x14ac:dyDescent="0.3">
      <c r="C57" s="228" t="s">
        <v>120</v>
      </c>
      <c r="D57" s="229"/>
      <c r="E57" s="229"/>
      <c r="F57" s="229"/>
      <c r="G57" s="230"/>
      <c r="H57" s="12"/>
      <c r="I57" s="12"/>
      <c r="J57" s="50"/>
    </row>
    <row r="58" spans="3:10" ht="45.1" customHeight="1" x14ac:dyDescent="0.3">
      <c r="C58" s="231" t="s">
        <v>121</v>
      </c>
      <c r="D58" s="232"/>
      <c r="E58" s="232"/>
      <c r="F58" s="232"/>
      <c r="G58" s="233"/>
      <c r="H58" s="12"/>
      <c r="I58" s="12"/>
      <c r="J58" s="50"/>
    </row>
    <row r="59" spans="3:10" ht="31.55" customHeight="1" x14ac:dyDescent="0.3">
      <c r="C59" s="234" t="s">
        <v>122</v>
      </c>
      <c r="D59" s="235"/>
      <c r="E59" s="235"/>
      <c r="F59" s="235"/>
      <c r="G59" s="236"/>
      <c r="H59" s="12"/>
      <c r="I59" s="12"/>
      <c r="J59" s="50"/>
    </row>
    <row r="60" spans="3:10" ht="31.55" customHeight="1" x14ac:dyDescent="0.3">
      <c r="C60" s="237" t="s">
        <v>123</v>
      </c>
      <c r="D60" s="232"/>
      <c r="E60" s="232"/>
      <c r="F60" s="232"/>
      <c r="G60" s="233"/>
      <c r="H60" s="12"/>
      <c r="I60" s="12"/>
      <c r="J60" s="50"/>
    </row>
    <row r="61" spans="3:10" ht="32.25" customHeight="1" x14ac:dyDescent="0.3">
      <c r="C61" s="238" t="s">
        <v>124</v>
      </c>
      <c r="D61" s="239"/>
      <c r="E61" s="239"/>
      <c r="F61" s="239"/>
      <c r="G61" s="240"/>
      <c r="H61" s="12"/>
      <c r="I61" s="12"/>
      <c r="J61" s="50"/>
    </row>
    <row r="62" spans="3:10" ht="32.25" customHeight="1" x14ac:dyDescent="0.3">
      <c r="C62" s="228" t="s">
        <v>125</v>
      </c>
      <c r="D62" s="241"/>
      <c r="E62" s="241"/>
      <c r="F62" s="241"/>
      <c r="G62" s="242"/>
      <c r="H62" s="12"/>
      <c r="I62" s="12"/>
      <c r="J62" s="51"/>
    </row>
    <row r="63" spans="3:10" ht="18" customHeight="1" x14ac:dyDescent="0.3">
      <c r="C63" s="243" t="s">
        <v>126</v>
      </c>
      <c r="D63" s="244"/>
      <c r="E63" s="244"/>
      <c r="F63" s="244"/>
      <c r="G63" s="245"/>
      <c r="H63" s="12"/>
      <c r="I63" s="12"/>
      <c r="J63" s="52"/>
    </row>
    <row r="64" spans="3:10" ht="15.55" x14ac:dyDescent="0.3">
      <c r="C64" s="52"/>
      <c r="D64" s="52"/>
      <c r="E64" s="52"/>
      <c r="F64" s="52"/>
      <c r="G64" s="52"/>
      <c r="H64" s="52"/>
      <c r="I64" s="12"/>
      <c r="J64" s="52"/>
    </row>
    <row r="65" spans="3:10" ht="15.55" x14ac:dyDescent="0.3">
      <c r="C65" s="180" t="s">
        <v>37</v>
      </c>
      <c r="D65" s="181"/>
      <c r="E65" s="181"/>
      <c r="F65" s="181"/>
      <c r="G65" s="182"/>
      <c r="H65" s="52"/>
      <c r="I65" s="12"/>
      <c r="J65" s="52"/>
    </row>
    <row r="66" spans="3:10" ht="36" customHeight="1" x14ac:dyDescent="0.3">
      <c r="C66" s="225" t="str">
        <f>CONCATENATE("Please note that these fees are integrated into the structure of the investment and will not be deducted from your Investment Amount. ","You as the Investor will receive "&amp;TEXT(Input!$E$26,"0.00%")&amp;" allocation of the Investment Amount.")</f>
        <v>Please note that these fees are integrated into the structure of the investment and will not be deducted from your Investment Amount. You as the Investor will receive 100.00% allocation of the Investment Amount.</v>
      </c>
      <c r="D66" s="226"/>
      <c r="E66" s="226"/>
      <c r="F66" s="226"/>
      <c r="G66" s="227"/>
      <c r="H66" s="52"/>
      <c r="I66" s="12"/>
      <c r="J66" s="35"/>
    </row>
    <row r="67" spans="3:10" ht="18.75" customHeight="1" x14ac:dyDescent="0.3">
      <c r="C67" s="53"/>
      <c r="D67" s="54"/>
      <c r="E67" s="54"/>
      <c r="F67" s="54"/>
      <c r="G67" s="55"/>
      <c r="H67" s="52"/>
      <c r="I67" s="12"/>
      <c r="J67" s="26"/>
    </row>
    <row r="68" spans="3:10" ht="19.45" customHeight="1" x14ac:dyDescent="0.3">
      <c r="C68" s="131"/>
      <c r="D68" s="132" t="s">
        <v>38</v>
      </c>
      <c r="E68" s="133" t="s">
        <v>39</v>
      </c>
      <c r="F68" s="246" t="s">
        <v>40</v>
      </c>
      <c r="G68" s="247"/>
      <c r="H68" s="52"/>
      <c r="I68" s="12"/>
      <c r="J68" s="26"/>
    </row>
    <row r="69" spans="3:10" ht="35.299999999999997" customHeight="1" x14ac:dyDescent="0.3">
      <c r="C69" s="131" t="s">
        <v>41</v>
      </c>
      <c r="D69" s="134">
        <f>Input!$C$37</f>
        <v>0.01</v>
      </c>
      <c r="E69" s="135" t="s">
        <v>116</v>
      </c>
      <c r="F69" s="248" t="str">
        <f>Input!$D$37</f>
        <v>Upfront as a percentage of the investment amount.</v>
      </c>
      <c r="G69" s="249"/>
      <c r="H69" s="52"/>
      <c r="I69" s="12"/>
      <c r="J69" s="56"/>
    </row>
    <row r="70" spans="3:10" ht="47.95" customHeight="1" x14ac:dyDescent="0.3">
      <c r="C70" s="131" t="s">
        <v>42</v>
      </c>
      <c r="D70" s="134">
        <f>Input!$C$38</f>
        <v>1.4999999999999999E-2</v>
      </c>
      <c r="E70" s="135" t="s">
        <v>119</v>
      </c>
      <c r="F70" s="248" t="str">
        <f>Input!$D$38</f>
        <v>Inclusive of VAT. Upfront as a percentage of the investment amount.</v>
      </c>
      <c r="G70" s="249"/>
      <c r="H70" s="52"/>
      <c r="I70" s="12"/>
      <c r="J70" s="57"/>
    </row>
    <row r="71" spans="3:10" ht="49.55" customHeight="1" x14ac:dyDescent="0.3">
      <c r="C71" s="131" t="s">
        <v>43</v>
      </c>
      <c r="D71" s="134">
        <f>Input!$C$39</f>
        <v>2.8750000000000001E-2</v>
      </c>
      <c r="E71" s="135" t="s">
        <v>44</v>
      </c>
      <c r="F71" s="248" t="str">
        <f>Input!$D$39</f>
        <v>Inclusive of VAT. Upfront as a percentage of the investment amount.</v>
      </c>
      <c r="G71" s="249"/>
      <c r="H71" s="52"/>
      <c r="I71" s="12"/>
      <c r="J71" s="57"/>
    </row>
    <row r="72" spans="3:10" ht="15.55" x14ac:dyDescent="0.3">
      <c r="C72" s="50"/>
      <c r="D72" s="50"/>
      <c r="E72" s="50"/>
      <c r="F72" s="50"/>
      <c r="G72" s="50"/>
      <c r="H72" s="52"/>
      <c r="I72" s="12"/>
      <c r="J72" s="57"/>
    </row>
    <row r="73" spans="3:10" ht="15.7" customHeight="1" x14ac:dyDescent="0.3">
      <c r="C73" s="180" t="s">
        <v>45</v>
      </c>
      <c r="D73" s="181"/>
      <c r="E73" s="181"/>
      <c r="F73" s="181"/>
      <c r="G73" s="182"/>
      <c r="H73" s="52"/>
      <c r="I73" s="12"/>
      <c r="J73" s="50"/>
    </row>
    <row r="74" spans="3:10" ht="75.05" customHeight="1" x14ac:dyDescent="0.3">
      <c r="C74" s="250" t="s">
        <v>46</v>
      </c>
      <c r="D74" s="251"/>
      <c r="E74" s="251"/>
      <c r="F74" s="251"/>
      <c r="G74" s="252"/>
      <c r="H74" s="52"/>
      <c r="I74" s="12"/>
      <c r="J74" s="35"/>
    </row>
    <row r="75" spans="3:10" ht="13.55" customHeight="1" x14ac:dyDescent="0.3">
      <c r="C75" s="58"/>
      <c r="D75" s="40"/>
      <c r="E75" s="40"/>
      <c r="F75" s="40"/>
      <c r="G75" s="40"/>
      <c r="H75" s="52"/>
      <c r="I75" s="12"/>
      <c r="J75" s="26"/>
    </row>
    <row r="76" spans="3:10" ht="15.55" x14ac:dyDescent="0.3">
      <c r="C76" s="180" t="s">
        <v>47</v>
      </c>
      <c r="D76" s="181"/>
      <c r="E76" s="181"/>
      <c r="F76" s="181"/>
      <c r="G76" s="182"/>
      <c r="H76" s="52"/>
      <c r="I76" s="12"/>
      <c r="J76" s="40"/>
    </row>
    <row r="77" spans="3:10" ht="31.55" customHeight="1" x14ac:dyDescent="0.3">
      <c r="C77" s="253" t="s">
        <v>48</v>
      </c>
      <c r="D77" s="254"/>
      <c r="E77" s="254"/>
      <c r="F77" s="254"/>
      <c r="G77" s="255"/>
      <c r="H77" s="52"/>
      <c r="I77" s="12"/>
      <c r="J77" s="35"/>
    </row>
    <row r="78" spans="3:10" ht="15.55" x14ac:dyDescent="0.3">
      <c r="C78" s="50"/>
      <c r="D78" s="50"/>
      <c r="E78" s="50"/>
      <c r="F78" s="50"/>
      <c r="G78" s="50"/>
      <c r="H78" s="50"/>
      <c r="I78" s="12"/>
      <c r="J78" s="59"/>
    </row>
    <row r="79" spans="3:10" ht="15.55" x14ac:dyDescent="0.3">
      <c r="C79" s="50"/>
      <c r="D79" s="50"/>
      <c r="E79" s="50"/>
      <c r="F79" s="50"/>
      <c r="G79" s="50"/>
      <c r="H79" s="50"/>
      <c r="I79" s="12"/>
      <c r="J79" s="50"/>
    </row>
    <row r="80" spans="3:10" ht="18" customHeight="1" x14ac:dyDescent="0.3">
      <c r="C80" s="50"/>
      <c r="D80" s="50"/>
      <c r="E80" s="50"/>
      <c r="F80" s="50"/>
      <c r="G80" s="50"/>
      <c r="H80" s="50"/>
      <c r="I80" s="12"/>
      <c r="J80" s="50"/>
    </row>
    <row r="81" spans="3:10" ht="15.55" x14ac:dyDescent="0.3">
      <c r="C81" s="50"/>
      <c r="D81" s="50"/>
      <c r="E81" s="50"/>
      <c r="F81" s="50"/>
      <c r="G81" s="50"/>
      <c r="H81" s="50"/>
      <c r="I81" s="12"/>
      <c r="J81" s="50"/>
    </row>
    <row r="82" spans="3:10" ht="19.45" customHeight="1" x14ac:dyDescent="0.3">
      <c r="C82" s="50"/>
      <c r="D82" s="50"/>
      <c r="E82" s="50"/>
      <c r="F82" s="50"/>
      <c r="G82" s="50"/>
      <c r="H82" s="50"/>
      <c r="I82" s="12"/>
      <c r="J82" s="50"/>
    </row>
    <row r="83" spans="3:10" ht="15.55" x14ac:dyDescent="0.3">
      <c r="C83" s="180" t="s">
        <v>49</v>
      </c>
      <c r="D83" s="181"/>
      <c r="E83" s="181"/>
      <c r="F83" s="181"/>
      <c r="G83" s="182"/>
      <c r="H83" s="50"/>
      <c r="I83" s="12"/>
      <c r="J83" s="50"/>
    </row>
    <row r="84" spans="3:10" ht="33" customHeight="1" x14ac:dyDescent="0.3">
      <c r="C84" s="250" t="s">
        <v>50</v>
      </c>
      <c r="D84" s="256"/>
      <c r="E84" s="256"/>
      <c r="F84" s="256"/>
      <c r="G84" s="257"/>
      <c r="H84" s="50"/>
      <c r="I84" s="12"/>
      <c r="J84" s="35"/>
    </row>
    <row r="85" spans="3:10" ht="15.55" x14ac:dyDescent="0.3">
      <c r="C85" s="50"/>
      <c r="D85" s="50"/>
      <c r="E85" s="50"/>
      <c r="F85" s="50"/>
      <c r="G85" s="50"/>
      <c r="H85" s="50"/>
      <c r="I85" s="12"/>
      <c r="J85" s="59"/>
    </row>
    <row r="86" spans="3:10" ht="15.55" x14ac:dyDescent="0.3">
      <c r="C86" s="180" t="s">
        <v>51</v>
      </c>
      <c r="D86" s="181"/>
      <c r="E86" s="181"/>
      <c r="F86" s="181"/>
      <c r="G86" s="182"/>
      <c r="H86" s="50"/>
      <c r="I86" s="12"/>
      <c r="J86" s="50"/>
    </row>
    <row r="87" spans="3:10" ht="69" customHeight="1" x14ac:dyDescent="0.3">
      <c r="C87" s="258" t="s">
        <v>127</v>
      </c>
      <c r="D87" s="259"/>
      <c r="E87" s="259"/>
      <c r="F87" s="259"/>
      <c r="G87" s="260"/>
      <c r="H87" s="50"/>
      <c r="I87" s="12"/>
      <c r="J87" s="35"/>
    </row>
    <row r="88" spans="3:10" ht="48.85" customHeight="1" x14ac:dyDescent="0.3">
      <c r="C88" s="253" t="s">
        <v>117</v>
      </c>
      <c r="D88" s="254"/>
      <c r="E88" s="254"/>
      <c r="F88" s="254"/>
      <c r="G88" s="255"/>
      <c r="H88" s="50"/>
      <c r="I88" s="12"/>
      <c r="J88" s="59"/>
    </row>
    <row r="89" spans="3:10" ht="15.55" x14ac:dyDescent="0.3">
      <c r="C89" s="50"/>
      <c r="D89" s="50"/>
      <c r="E89" s="50"/>
      <c r="F89" s="50"/>
      <c r="G89" s="50"/>
      <c r="H89" s="50"/>
      <c r="I89" s="12"/>
      <c r="J89" s="59"/>
    </row>
    <row r="90" spans="3:10" ht="15.7" customHeight="1" x14ac:dyDescent="0.3">
      <c r="C90" s="180" t="s">
        <v>52</v>
      </c>
      <c r="D90" s="181"/>
      <c r="E90" s="181"/>
      <c r="F90" s="181"/>
      <c r="G90" s="182"/>
      <c r="H90" s="50"/>
      <c r="I90" s="12"/>
      <c r="J90" s="50"/>
    </row>
    <row r="91" spans="3:10" ht="33" customHeight="1" x14ac:dyDescent="0.3">
      <c r="C91" s="261" t="s">
        <v>134</v>
      </c>
      <c r="D91" s="262"/>
      <c r="E91" s="262"/>
      <c r="F91" s="262"/>
      <c r="G91" s="263"/>
      <c r="H91" s="50"/>
      <c r="I91" s="12"/>
      <c r="J91" s="35"/>
    </row>
    <row r="92" spans="3:10" ht="15.55" x14ac:dyDescent="0.3">
      <c r="C92" s="21"/>
      <c r="D92" s="21"/>
      <c r="E92" s="21"/>
      <c r="F92" s="21"/>
      <c r="G92" s="21"/>
      <c r="H92" s="50"/>
      <c r="I92" s="12"/>
      <c r="J92" s="25"/>
    </row>
    <row r="93" spans="3:10" ht="15.7" customHeight="1" x14ac:dyDescent="0.3">
      <c r="C93" s="180" t="s">
        <v>53</v>
      </c>
      <c r="D93" s="181"/>
      <c r="E93" s="181"/>
      <c r="F93" s="181"/>
      <c r="G93" s="182"/>
      <c r="H93" s="50"/>
      <c r="I93" s="12"/>
      <c r="J93" s="21"/>
    </row>
    <row r="94" spans="3:10" ht="15.55" x14ac:dyDescent="0.3">
      <c r="C94" s="136" t="str">
        <f>"- A minimum investment amount of "&amp;TEXT($K$4,"[$R-en-ZA]* #,##0.00")&amp;" per policy applies."</f>
        <v>- A minimum investment amount of R100,000.00 per policy applies.</v>
      </c>
      <c r="D94" s="108"/>
      <c r="E94" s="108"/>
      <c r="F94" s="108"/>
      <c r="G94" s="137"/>
      <c r="H94" s="50"/>
      <c r="I94" s="12"/>
      <c r="J94" s="35"/>
    </row>
    <row r="95" spans="3:10" ht="31.55" customHeight="1" x14ac:dyDescent="0.3">
      <c r="C95" s="264" t="str">
        <f>"- The "&amp;TEXT($J$7,"0")&amp; " shown in the product documentation will be confirmed on the investment start date but will not be less than "&amp;TEXT($K$7,"0.00%")&amp;"."</f>
        <v>- The Participation Rate shown in the product documentation will be confirmed on the investment start date but will not be less than 635.00%.</v>
      </c>
      <c r="D95" s="265"/>
      <c r="E95" s="265"/>
      <c r="F95" s="265"/>
      <c r="G95" s="266"/>
      <c r="H95" s="50"/>
      <c r="I95" s="12"/>
      <c r="J95" s="34"/>
    </row>
    <row r="96" spans="3:10" ht="15.55" x14ac:dyDescent="0.3">
      <c r="C96" s="264" t="str">
        <f>"- Once a policy has been surrendered it cannot be reinstated."</f>
        <v>- Once a policy has been surrendered it cannot be reinstated.</v>
      </c>
      <c r="D96" s="265"/>
      <c r="E96" s="265"/>
      <c r="F96" s="265"/>
      <c r="G96" s="266"/>
      <c r="H96" s="50"/>
      <c r="I96" s="12"/>
      <c r="J96" s="21"/>
    </row>
    <row r="97" spans="3:10" ht="15.55" x14ac:dyDescent="0.3">
      <c r="C97" s="264" t="str">
        <f>"- No additional investments will be allowed once the policy has been issued."</f>
        <v>- No additional investments will be allowed once the policy has been issued.</v>
      </c>
      <c r="D97" s="265"/>
      <c r="E97" s="265"/>
      <c r="F97" s="265"/>
      <c r="G97" s="266"/>
      <c r="H97" s="50"/>
      <c r="I97" s="12"/>
      <c r="J97" s="21"/>
    </row>
    <row r="98" spans="3:10" ht="15.55" x14ac:dyDescent="0.3">
      <c r="C98" s="267" t="str">
        <f>"- Commission to the adviser cannot be clawed back after the cooling off period."</f>
        <v>- Commission to the adviser cannot be clawed back after the cooling off period.</v>
      </c>
      <c r="D98" s="268"/>
      <c r="E98" s="268"/>
      <c r="F98" s="268"/>
      <c r="G98" s="269"/>
      <c r="H98" s="50"/>
      <c r="I98" s="12"/>
      <c r="J98" s="21"/>
    </row>
    <row r="99" spans="3:10" ht="15.55" x14ac:dyDescent="0.3">
      <c r="C99" s="50"/>
      <c r="D99" s="50"/>
      <c r="E99" s="50"/>
      <c r="F99" s="50"/>
      <c r="G99" s="50"/>
      <c r="H99" s="50"/>
      <c r="I99" s="12"/>
      <c r="J99" s="21"/>
    </row>
    <row r="100" spans="3:10" ht="15.55" x14ac:dyDescent="0.3">
      <c r="C100" s="180" t="s">
        <v>54</v>
      </c>
      <c r="D100" s="181"/>
      <c r="E100" s="181"/>
      <c r="F100" s="181"/>
      <c r="G100" s="182"/>
      <c r="H100" s="50"/>
      <c r="I100" s="12"/>
      <c r="J100" s="50"/>
    </row>
    <row r="101" spans="3:10" ht="84.85" customHeight="1" x14ac:dyDescent="0.3">
      <c r="C101" s="250" t="s">
        <v>118</v>
      </c>
      <c r="D101" s="256"/>
      <c r="E101" s="256"/>
      <c r="F101" s="256"/>
      <c r="G101" s="257"/>
      <c r="H101" s="50"/>
      <c r="I101" s="12"/>
      <c r="J101" s="35"/>
    </row>
    <row r="102" spans="3:10" ht="15.55" x14ac:dyDescent="0.3">
      <c r="C102" s="50"/>
      <c r="D102" s="50"/>
      <c r="E102" s="50"/>
      <c r="F102" s="50"/>
      <c r="G102" s="50"/>
      <c r="H102" s="50"/>
      <c r="I102" s="12"/>
      <c r="J102" s="59"/>
    </row>
    <row r="103" spans="3:10" ht="15.7" customHeight="1" x14ac:dyDescent="0.3">
      <c r="C103" s="180" t="s">
        <v>55</v>
      </c>
      <c r="D103" s="181"/>
      <c r="E103" s="181"/>
      <c r="F103" s="181"/>
      <c r="G103" s="182"/>
      <c r="H103" s="50"/>
      <c r="I103" s="12"/>
      <c r="J103" s="50"/>
    </row>
    <row r="104" spans="3:10" ht="33" customHeight="1" x14ac:dyDescent="0.3">
      <c r="C104" s="258" t="s">
        <v>56</v>
      </c>
      <c r="D104" s="259"/>
      <c r="E104" s="259"/>
      <c r="F104" s="259"/>
      <c r="G104" s="260"/>
      <c r="H104" s="50"/>
      <c r="I104" s="12"/>
      <c r="J104" s="35"/>
    </row>
    <row r="105" spans="3:10" ht="15.55" x14ac:dyDescent="0.3">
      <c r="C105" s="231" t="s">
        <v>57</v>
      </c>
      <c r="D105" s="232"/>
      <c r="E105" s="232"/>
      <c r="F105" s="232"/>
      <c r="G105" s="138"/>
      <c r="H105" s="50"/>
      <c r="I105" s="12"/>
      <c r="J105" s="59"/>
    </row>
    <row r="106" spans="3:10" ht="15.55" x14ac:dyDescent="0.3">
      <c r="C106" s="139" t="str">
        <f>" - the charges of the new investment"</f>
        <v xml:space="preserve"> - the charges of the new investment</v>
      </c>
      <c r="D106" s="111"/>
      <c r="E106" s="111"/>
      <c r="F106" s="111"/>
      <c r="G106" s="140"/>
      <c r="H106" s="50"/>
      <c r="I106" s="12"/>
      <c r="J106" s="50"/>
    </row>
    <row r="107" spans="3:10" ht="15.55" x14ac:dyDescent="0.3">
      <c r="C107" s="139" t="str">
        <f>" - the tax implications"</f>
        <v xml:space="preserve"> - the tax implications</v>
      </c>
      <c r="D107" s="111"/>
      <c r="E107" s="111"/>
      <c r="F107" s="111"/>
      <c r="G107" s="140"/>
      <c r="H107" s="50"/>
      <c r="I107" s="12"/>
      <c r="J107" s="33"/>
    </row>
    <row r="108" spans="3:10" ht="15.55" x14ac:dyDescent="0.3">
      <c r="C108" s="139" t="str">
        <f>" - the loss of any benefits or guarantees"</f>
        <v xml:space="preserve"> - the loss of any benefits or guarantees</v>
      </c>
      <c r="D108" s="111"/>
      <c r="E108" s="111"/>
      <c r="F108" s="111"/>
      <c r="G108" s="140"/>
      <c r="H108" s="50"/>
      <c r="I108" s="12"/>
      <c r="J108" s="33"/>
    </row>
    <row r="109" spans="3:10" ht="15.55" x14ac:dyDescent="0.3">
      <c r="C109" s="141" t="str">
        <f>" - differences in the ability to access your funds"</f>
        <v xml:space="preserve"> - differences in the ability to access your funds</v>
      </c>
      <c r="D109" s="114"/>
      <c r="E109" s="114"/>
      <c r="F109" s="114"/>
      <c r="G109" s="142"/>
      <c r="H109" s="50"/>
      <c r="I109" s="12"/>
      <c r="J109" s="33"/>
    </row>
    <row r="110" spans="3:10" ht="15.55" x14ac:dyDescent="0.3">
      <c r="C110" s="60"/>
      <c r="D110" s="33"/>
      <c r="E110" s="33"/>
      <c r="F110" s="33"/>
      <c r="G110" s="33"/>
      <c r="H110" s="50"/>
      <c r="I110" s="33"/>
      <c r="J110" s="33"/>
    </row>
    <row r="111" spans="3:10" ht="15.7" customHeight="1" x14ac:dyDescent="0.3">
      <c r="C111" s="180" t="s">
        <v>58</v>
      </c>
      <c r="D111" s="181"/>
      <c r="E111" s="181"/>
      <c r="F111" s="181"/>
      <c r="G111" s="182"/>
      <c r="H111" s="50"/>
      <c r="I111" s="50"/>
      <c r="J111" s="33"/>
    </row>
    <row r="112" spans="3:10" ht="81.099999999999994" customHeight="1" x14ac:dyDescent="0.3">
      <c r="C112" s="250" t="s">
        <v>59</v>
      </c>
      <c r="D112" s="256"/>
      <c r="E112" s="256"/>
      <c r="F112" s="256"/>
      <c r="G112" s="257"/>
      <c r="H112" s="50"/>
      <c r="I112" s="50"/>
      <c r="J112" s="35"/>
    </row>
    <row r="113" spans="3:10" ht="15.55" x14ac:dyDescent="0.3">
      <c r="C113" s="61"/>
      <c r="D113" s="62"/>
      <c r="E113" s="62"/>
      <c r="F113" s="62"/>
      <c r="G113" s="63"/>
      <c r="H113" s="50"/>
      <c r="I113" s="50"/>
      <c r="J113" s="59"/>
    </row>
    <row r="114" spans="3:10" ht="15.55" x14ac:dyDescent="0.3">
      <c r="C114" s="143" t="s">
        <v>60</v>
      </c>
      <c r="D114" s="143" t="s">
        <v>61</v>
      </c>
      <c r="E114" s="146" t="s">
        <v>62</v>
      </c>
      <c r="F114" s="143" t="s">
        <v>63</v>
      </c>
      <c r="G114" s="146" t="s">
        <v>64</v>
      </c>
      <c r="H114" s="50"/>
      <c r="I114" s="50"/>
      <c r="J114" s="64"/>
    </row>
    <row r="115" spans="3:10" ht="15.55" x14ac:dyDescent="0.3">
      <c r="C115" s="144" t="s">
        <v>65</v>
      </c>
      <c r="D115" s="147">
        <f>Input!$C$39/1</f>
        <v>2.8750000000000001E-2</v>
      </c>
      <c r="E115" s="148">
        <f>Input!$C$39/3</f>
        <v>9.5833333333333343E-3</v>
      </c>
      <c r="F115" s="147">
        <f>Input!$C$39/5</f>
        <v>5.7499999999999999E-3</v>
      </c>
      <c r="G115" s="148">
        <f>Input!$C$39/5</f>
        <v>5.7499999999999999E-3</v>
      </c>
      <c r="H115" s="50"/>
      <c r="I115" s="50"/>
      <c r="J115" s="65"/>
    </row>
    <row r="116" spans="3:10" ht="15.55" x14ac:dyDescent="0.3">
      <c r="C116" s="122" t="s">
        <v>66</v>
      </c>
      <c r="D116" s="149">
        <f>Input!$C$38</f>
        <v>1.4999999999999999E-2</v>
      </c>
      <c r="E116" s="148">
        <f>Input!$C$38/3</f>
        <v>5.0000000000000001E-3</v>
      </c>
      <c r="F116" s="149">
        <f>Input!$C$38/5</f>
        <v>3.0000000000000001E-3</v>
      </c>
      <c r="G116" s="148">
        <f>Input!$C$38/5</f>
        <v>3.0000000000000001E-3</v>
      </c>
      <c r="H116" s="50"/>
      <c r="I116" s="50"/>
      <c r="J116" s="66"/>
    </row>
    <row r="117" spans="3:10" ht="15.55" x14ac:dyDescent="0.3">
      <c r="C117" s="122" t="s">
        <v>67</v>
      </c>
      <c r="D117" s="149">
        <f>Input!C37</f>
        <v>0.01</v>
      </c>
      <c r="E117" s="148">
        <f>Input!$C$37/3</f>
        <v>3.3333333333333335E-3</v>
      </c>
      <c r="F117" s="149">
        <f>Input!$C$37/5</f>
        <v>2E-3</v>
      </c>
      <c r="G117" s="148">
        <f>Input!$C$37/5</f>
        <v>2E-3</v>
      </c>
      <c r="H117" s="50"/>
      <c r="I117" s="50"/>
      <c r="J117" s="66"/>
    </row>
    <row r="118" spans="3:10" ht="15.55" x14ac:dyDescent="0.3">
      <c r="C118" s="145" t="s">
        <v>68</v>
      </c>
      <c r="D118" s="150">
        <f>SUM(D115:D117)</f>
        <v>5.3749999999999999E-2</v>
      </c>
      <c r="E118" s="151">
        <f>SUM(E115:E117)</f>
        <v>1.7916666666666668E-2</v>
      </c>
      <c r="F118" s="150">
        <f>SUM(F115:F117)</f>
        <v>1.0750000000000001E-2</v>
      </c>
      <c r="G118" s="151">
        <f>SUM(G115:G117)</f>
        <v>1.0750000000000001E-2</v>
      </c>
      <c r="H118" s="50"/>
      <c r="I118" s="50"/>
      <c r="J118" s="66"/>
    </row>
    <row r="119" spans="3:10" ht="16.600000000000001" customHeight="1" x14ac:dyDescent="0.3">
      <c r="C119" s="270" t="s">
        <v>69</v>
      </c>
      <c r="D119" s="271"/>
      <c r="E119" s="271"/>
      <c r="F119" s="271"/>
      <c r="G119" s="272"/>
      <c r="H119" s="50"/>
      <c r="I119" s="21"/>
      <c r="J119" s="67"/>
    </row>
    <row r="120" spans="3:10" ht="32.25" customHeight="1" x14ac:dyDescent="0.3">
      <c r="C120" s="276" t="s">
        <v>135</v>
      </c>
      <c r="D120" s="212"/>
      <c r="E120" s="212"/>
      <c r="F120" s="212"/>
      <c r="G120" s="277"/>
      <c r="H120" s="50"/>
      <c r="I120" s="50"/>
      <c r="J120" s="21"/>
    </row>
    <row r="121" spans="3:10" ht="17.3" customHeight="1" x14ac:dyDescent="0.3">
      <c r="C121" s="270" t="s">
        <v>70</v>
      </c>
      <c r="D121" s="271"/>
      <c r="E121" s="271"/>
      <c r="F121" s="271"/>
      <c r="G121" s="272"/>
      <c r="H121" s="50"/>
      <c r="I121" s="21"/>
      <c r="J121" s="50"/>
    </row>
    <row r="122" spans="3:10" ht="15.7" customHeight="1" x14ac:dyDescent="0.3">
      <c r="C122" s="273" t="s">
        <v>71</v>
      </c>
      <c r="D122" s="274"/>
      <c r="E122" s="274"/>
      <c r="F122" s="274"/>
      <c r="G122" s="275"/>
      <c r="H122" s="68">
        <v>1</v>
      </c>
      <c r="I122" s="21"/>
      <c r="J122" s="21"/>
    </row>
    <row r="123" spans="3:10" ht="15.55" x14ac:dyDescent="0.3">
      <c r="C123" s="69"/>
      <c r="D123" s="69"/>
      <c r="E123" s="69"/>
      <c r="F123" s="69"/>
      <c r="G123" s="69"/>
      <c r="H123" s="69"/>
      <c r="I123" s="69"/>
      <c r="J123" s="21"/>
    </row>
    <row r="124" spans="3:10" x14ac:dyDescent="0.25">
      <c r="J124" s="69"/>
    </row>
  </sheetData>
  <sheetProtection algorithmName="SHA-512" hashValue="yUD7NGt1/154H3TqlwdqmcEWFf3LsaP1XcoVComm7xxC1Lhpi6RubliEEBw1D0wyZwVoo2TMyvzvREl7nvzoFw==" saltValue="7DVCS0nT4nrsFWl1CeYRRA==" spinCount="100000" sheet="1" selectLockedCells="1"/>
  <mergeCells count="55">
    <mergeCell ref="C121:G121"/>
    <mergeCell ref="C122:G122"/>
    <mergeCell ref="C104:G104"/>
    <mergeCell ref="C105:F105"/>
    <mergeCell ref="C111:G111"/>
    <mergeCell ref="C112:G112"/>
    <mergeCell ref="C119:G119"/>
    <mergeCell ref="C120:G120"/>
    <mergeCell ref="C103:G103"/>
    <mergeCell ref="C87:G87"/>
    <mergeCell ref="C88:G88"/>
    <mergeCell ref="C90:G90"/>
    <mergeCell ref="C91:G91"/>
    <mergeCell ref="C93:G93"/>
    <mergeCell ref="C95:G95"/>
    <mergeCell ref="C96:G96"/>
    <mergeCell ref="C97:G97"/>
    <mergeCell ref="C98:G98"/>
    <mergeCell ref="C100:G100"/>
    <mergeCell ref="C101:G101"/>
    <mergeCell ref="C86:G86"/>
    <mergeCell ref="F68:G68"/>
    <mergeCell ref="F69:G69"/>
    <mergeCell ref="F70:G70"/>
    <mergeCell ref="F71:G71"/>
    <mergeCell ref="C73:G73"/>
    <mergeCell ref="C74:G74"/>
    <mergeCell ref="C76:G76"/>
    <mergeCell ref="C77:G77"/>
    <mergeCell ref="C83:G83"/>
    <mergeCell ref="C84:G84"/>
    <mergeCell ref="C49:G49"/>
    <mergeCell ref="C54:G54"/>
    <mergeCell ref="C55:G55"/>
    <mergeCell ref="C66:G66"/>
    <mergeCell ref="C56:G56"/>
    <mergeCell ref="C57:G57"/>
    <mergeCell ref="C58:G58"/>
    <mergeCell ref="C59:G59"/>
    <mergeCell ref="C60:G60"/>
    <mergeCell ref="C61:G61"/>
    <mergeCell ref="C62:G62"/>
    <mergeCell ref="C63:G63"/>
    <mergeCell ref="C65:G65"/>
    <mergeCell ref="C16:G16"/>
    <mergeCell ref="C24:G24"/>
    <mergeCell ref="C30:G30"/>
    <mergeCell ref="C32:G32"/>
    <mergeCell ref="C34:G34"/>
    <mergeCell ref="C14:G14"/>
    <mergeCell ref="C6:G6"/>
    <mergeCell ref="C7:G7"/>
    <mergeCell ref="C9:G9"/>
    <mergeCell ref="C11:G11"/>
    <mergeCell ref="C12:G12"/>
  </mergeCells>
  <dataValidations count="2">
    <dataValidation type="list" allowBlank="1" sqref="G46" xr:uid="{71A71211-7181-4453-B9F1-368862F94F90}">
      <formula1>"-30%, -25%,-20%,-15%,-10%,-5%,0%,5%,10%,15%,20%,25%,30%"</formula1>
    </dataValidation>
    <dataValidation type="list" allowBlank="1" showInputMessage="1" showErrorMessage="1" sqref="G45" xr:uid="{63399920-0607-4E25-9732-01FE29B28046}">
      <formula1>"-50%,-45%,-40%,-35%,-30%, -25%,-20%,-15%,-10%,-5%,0%,5%,10%,15%,10%,15%,20%,25%,30%,35%,40%,45%,50%"</formula1>
    </dataValidation>
  </dataValidations>
  <pageMargins left="0.7" right="0.7" top="0.75" bottom="0.75" header="0.3" footer="0.3"/>
  <pageSetup scale="63" orientation="portrait" r:id="rId1"/>
  <rowBreaks count="2" manualBreakCount="2">
    <brk id="50" max="16383" man="1"/>
    <brk id="77"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Output</vt:lpstr>
      <vt:lpstr>Output!Print_Area</vt:lpstr>
    </vt:vector>
  </TitlesOfParts>
  <Company>Barclays Africa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Brendon Davidson (ZA)</dc:creator>
  <cp:lastModifiedBy>Snenhlanhla Mkhize (ZA)</cp:lastModifiedBy>
  <dcterms:created xsi:type="dcterms:W3CDTF">2021-04-09T15:15:28Z</dcterms:created>
  <dcterms:modified xsi:type="dcterms:W3CDTF">2025-04-07T11:34:32Z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31f7f404-a4a9-4319-b0b6-469f6bdfbc05</vt:lpwstr>
  </property>
  <property fmtid="{D5CDD505-2E9C-101B-9397-08002B2CF9AE}" pid="3" name="TitusArchived">
    <vt:lpwstr>TitusArchivedFalse</vt:lpwstr>
  </property>
  <property fmtid="{D5CDD505-2E9C-101B-9397-08002B2CF9AE}" pid="4" name="TitusDestroyByDate">
    <vt:lpwstr>2028-04-07</vt:lpwstr>
  </property>
  <property fmtid="{D5CDD505-2E9C-101B-9397-08002B2CF9AE}" pid="5" name="TitusContentScanMode">
    <vt:lpwstr>TitusContentScanModeManual</vt:lpwstr>
  </property>
  <property fmtid="{D5CDD505-2E9C-101B-9397-08002B2CF9AE}" pid="6" name="TitusClassification">
    <vt:lpwstr>TitusRestricted</vt:lpwstr>
  </property>
  <property fmtid="{D5CDD505-2E9C-101B-9397-08002B2CF9AE}" pid="7" name="TitusRescan">
    <vt:lpwstr>TitusRescanTrue</vt:lpwstr>
  </property>
  <property fmtid="{D5CDD505-2E9C-101B-9397-08002B2CF9AE}" pid="8" name="MSIP_Label_c698089a-dfcd-47e0-b4db-0c235cc9ffc9_Enabled">
    <vt:lpwstr>true</vt:lpwstr>
  </property>
  <property fmtid="{D5CDD505-2E9C-101B-9397-08002B2CF9AE}" pid="9" name="MSIP_Label_c698089a-dfcd-47e0-b4db-0c235cc9ffc9_SetDate">
    <vt:lpwstr>2024-04-10T13:08:56Z</vt:lpwstr>
  </property>
  <property fmtid="{D5CDD505-2E9C-101B-9397-08002B2CF9AE}" pid="10" name="MSIP_Label_c698089a-dfcd-47e0-b4db-0c235cc9ffc9_Method">
    <vt:lpwstr>Privileged</vt:lpwstr>
  </property>
  <property fmtid="{D5CDD505-2E9C-101B-9397-08002B2CF9AE}" pid="11" name="MSIP_Label_c698089a-dfcd-47e0-b4db-0c235cc9ffc9_Name">
    <vt:lpwstr>Unresctricted</vt:lpwstr>
  </property>
  <property fmtid="{D5CDD505-2E9C-101B-9397-08002B2CF9AE}" pid="12" name="MSIP_Label_c698089a-dfcd-47e0-b4db-0c235cc9ffc9_SiteId">
    <vt:lpwstr>5be1f46d-495f-465b-9507-996e8c8cdcb6</vt:lpwstr>
  </property>
  <property fmtid="{D5CDD505-2E9C-101B-9397-08002B2CF9AE}" pid="13" name="MSIP_Label_c698089a-dfcd-47e0-b4db-0c235cc9ffc9_ActionId">
    <vt:lpwstr>3a86846b-da8b-4497-bb3f-68c39380fb6b</vt:lpwstr>
  </property>
  <property fmtid="{D5CDD505-2E9C-101B-9397-08002B2CF9AE}" pid="14" name="MSIP_Label_c698089a-dfcd-47e0-b4db-0c235cc9ffc9_ContentBits">
    <vt:lpwstr>0</vt:lpwstr>
  </property>
</Properties>
</file>