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codeName="ThisWorkbook" defaultThemeVersion="166925"/>
  <mc:AlternateContent xmlns:mc="http://schemas.openxmlformats.org/markup-compatibility/2006">
    <mc:Choice Requires="x15">
      <x15ac:absPath xmlns:x15ac="http://schemas.microsoft.com/office/spreadsheetml/2010/11/ac" url="W:\ITR\ITR_MKT\Corporate Identity\Website\Itransact\ITRANSACT MEDIA\QUOTE\"/>
    </mc:Choice>
  </mc:AlternateContent>
  <xr:revisionPtr revIDLastSave="0" documentId="8_{27192CAA-4BCD-4DC6-A3F6-4A0E37421EDE}" xr6:coauthVersionLast="47" xr6:coauthVersionMax="47" xr10:uidLastSave="{00000000-0000-0000-0000-000000000000}"/>
  <workbookProtection workbookAlgorithmName="SHA-512" workbookHashValue="+PhTr+S4HcL3p88gEv0sQLMKWFoiWBS0pfM0ECGju6NCt3C2b9kZL98OHoRpv6H1wLJLvanXYXB29RkEP9pntw==" workbookSaltValue="iktSfRG0kMxpSi8kSt030w==" workbookSpinCount="100000" lockStructure="1"/>
  <bookViews>
    <workbookView xWindow="-1920" yWindow="-16320" windowWidth="29040" windowHeight="15840" xr2:uid="{F803DFC2-D9CA-4DB5-BBD1-917B8773CDB7}"/>
  </bookViews>
  <sheets>
    <sheet name="Quote ALFIGP" sheetId="10" r:id="rId1"/>
    <sheet name="Pricing Component 1" sheetId="8" state="hidden" r:id="rId2"/>
    <sheet name="Pricing Component " sheetId="7" state="hidden" r:id="rId3"/>
    <sheet name="Life Accounting" sheetId="6" state="hidden" r:id="rId4"/>
    <sheet name="Cash Flows" sheetId="11" state="hidden" r:id="rId5"/>
  </sheets>
  <externalReferences>
    <externalReference r:id="rId6"/>
  </externalReferences>
  <definedNames>
    <definedName name="ced" localSheetId="1">'Pricing Component 1'!$B$29</definedName>
    <definedName name="ced">'Pricing Component '!$B$8</definedName>
    <definedName name="nfi" localSheetId="1">'Pricing Component 1'!$B$25</definedName>
    <definedName name="nfi">'Pricing Component '!$B$5</definedName>
    <definedName name="_xlnm.Print_Area" localSheetId="0">'Quote ALFIGP'!$A$3:$F$63</definedName>
    <definedName name="rfr" localSheetId="1">'Pricing Component 1'!$B$31</definedName>
    <definedName name="rfr">'Pricing Component '!$B$10</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0" l="1"/>
  <c r="H19" i="11"/>
  <c r="G19" i="11"/>
  <c r="F19" i="11"/>
  <c r="E19" i="11"/>
  <c r="C3" i="8" l="1"/>
  <c r="C37" i="8" l="1"/>
  <c r="C36" i="8"/>
  <c r="B56" i="10"/>
  <c r="B54" i="10"/>
  <c r="B15" i="10"/>
  <c r="D25" i="10" l="1"/>
  <c r="D24" i="10"/>
  <c r="A11" i="10"/>
  <c r="E42" i="10"/>
  <c r="B25" i="8"/>
  <c r="B18" i="8"/>
  <c r="B33" i="8" l="1"/>
  <c r="C25" i="8"/>
  <c r="B5" i="8" l="1"/>
  <c r="B38" i="8" s="1"/>
  <c r="B6" i="7"/>
  <c r="B7" i="7" s="1"/>
  <c r="B13" i="8"/>
  <c r="B14" i="8" s="1"/>
  <c r="B15" i="8" s="1"/>
  <c r="D35" i="10"/>
  <c r="B42" i="10" s="1"/>
  <c r="D34" i="10"/>
  <c r="E25" i="10"/>
  <c r="D43" i="10"/>
  <c r="E43" i="10" s="1"/>
  <c r="E41" i="10"/>
  <c r="C44" i="10"/>
  <c r="D4" i="11" l="1"/>
  <c r="C5" i="8"/>
  <c r="B41" i="10"/>
  <c r="D44" i="10"/>
  <c r="E44" i="10" s="1"/>
  <c r="F4" i="11" l="1"/>
  <c r="C38" i="8"/>
  <c r="C45" i="8" s="1"/>
  <c r="D8" i="11"/>
  <c r="B44" i="10"/>
  <c r="C7" i="8"/>
  <c r="C29" i="7"/>
  <c r="C31" i="7" s="1"/>
  <c r="B1" i="7" s="1"/>
  <c r="B42" i="8" l="1"/>
  <c r="C42" i="8"/>
  <c r="F8" i="11"/>
  <c r="B12" i="7"/>
  <c r="B8" i="7"/>
  <c r="I8" i="6"/>
  <c r="A9" i="6"/>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B3" i="7"/>
  <c r="H2" i="7" s="1"/>
  <c r="B15" i="7"/>
  <c r="C17" i="7"/>
  <c r="C18" i="7"/>
  <c r="C19" i="7"/>
  <c r="I3" i="7" l="1"/>
  <c r="J3" i="7" s="1"/>
  <c r="K3" i="7" s="1"/>
  <c r="A68" i="6"/>
  <c r="I11" i="6"/>
  <c r="I29" i="6"/>
  <c r="I53" i="6"/>
  <c r="I52" i="6"/>
  <c r="I14" i="6"/>
  <c r="I41" i="6"/>
  <c r="I40" i="6"/>
  <c r="I63" i="6"/>
  <c r="I27" i="6"/>
  <c r="I62" i="6"/>
  <c r="I37" i="6"/>
  <c r="I13" i="6"/>
  <c r="I50" i="6"/>
  <c r="I61" i="6"/>
  <c r="I49" i="6"/>
  <c r="I25" i="6"/>
  <c r="I60" i="6"/>
  <c r="I48" i="6"/>
  <c r="I36" i="6"/>
  <c r="I24" i="6"/>
  <c r="I12" i="6"/>
  <c r="I47" i="6"/>
  <c r="I23" i="6"/>
  <c r="I58" i="6"/>
  <c r="I46" i="6"/>
  <c r="I34" i="6"/>
  <c r="I22" i="6"/>
  <c r="I10" i="6"/>
  <c r="I64" i="6"/>
  <c r="I51" i="6"/>
  <c r="I35" i="6"/>
  <c r="I57" i="6"/>
  <c r="I45" i="6"/>
  <c r="I33" i="6"/>
  <c r="I21" i="6"/>
  <c r="I9" i="6"/>
  <c r="I56" i="6"/>
  <c r="I44" i="6"/>
  <c r="I32" i="6"/>
  <c r="I20" i="6"/>
  <c r="I65" i="6"/>
  <c r="I16" i="6"/>
  <c r="I15" i="6"/>
  <c r="I38" i="6"/>
  <c r="I59" i="6"/>
  <c r="I67" i="6"/>
  <c r="I55" i="6"/>
  <c r="I43" i="6"/>
  <c r="I31" i="6"/>
  <c r="I19" i="6"/>
  <c r="I17" i="6"/>
  <c r="I28" i="6"/>
  <c r="I39" i="6"/>
  <c r="I26" i="6"/>
  <c r="I66" i="6"/>
  <c r="I54" i="6"/>
  <c r="I42" i="6"/>
  <c r="I30" i="6"/>
  <c r="I18" i="6"/>
  <c r="I68" i="6" l="1"/>
  <c r="A69" i="6"/>
  <c r="H3" i="7"/>
  <c r="A70" i="6" l="1"/>
  <c r="I69" i="6"/>
  <c r="I4" i="7"/>
  <c r="J4" i="7" s="1"/>
  <c r="K4" i="7" s="1"/>
  <c r="A71" i="6" l="1"/>
  <c r="I70" i="6"/>
  <c r="H4" i="7"/>
  <c r="I5" i="7" s="1"/>
  <c r="H5" i="7" s="1"/>
  <c r="A72" i="6" l="1"/>
  <c r="I71" i="6"/>
  <c r="I6" i="7"/>
  <c r="H6" i="7" s="1"/>
  <c r="J5" i="7"/>
  <c r="K5" i="7" s="1"/>
  <c r="A73" i="6" l="1"/>
  <c r="I72" i="6"/>
  <c r="I7" i="7"/>
  <c r="J7" i="7" s="1"/>
  <c r="K7" i="7" s="1"/>
  <c r="J6" i="7"/>
  <c r="K6" i="7" s="1"/>
  <c r="A74" i="6" l="1"/>
  <c r="I73" i="6"/>
  <c r="H7" i="7"/>
  <c r="A75" i="6" l="1"/>
  <c r="I74" i="6"/>
  <c r="I8" i="7"/>
  <c r="J8" i="7" s="1"/>
  <c r="K8" i="7" s="1"/>
  <c r="A76" i="6" l="1"/>
  <c r="I75" i="6"/>
  <c r="H8" i="7"/>
  <c r="I9" i="7" s="1"/>
  <c r="J9" i="7" s="1"/>
  <c r="K9" i="7" s="1"/>
  <c r="A77" i="6" l="1"/>
  <c r="I76" i="6"/>
  <c r="H9" i="7"/>
  <c r="I10" i="7" s="1"/>
  <c r="H10" i="7" s="1"/>
  <c r="A78" i="6" l="1"/>
  <c r="I77" i="6"/>
  <c r="J10" i="7"/>
  <c r="K10" i="7" s="1"/>
  <c r="I11" i="7"/>
  <c r="H11" i="7" s="1"/>
  <c r="A79" i="6" l="1"/>
  <c r="I78" i="6"/>
  <c r="I12" i="7"/>
  <c r="H12" i="7" s="1"/>
  <c r="J11" i="7"/>
  <c r="K11" i="7" s="1"/>
  <c r="A80" i="6" l="1"/>
  <c r="I79" i="6"/>
  <c r="I13" i="7"/>
  <c r="H13" i="7" s="1"/>
  <c r="I14" i="7" s="1"/>
  <c r="J14" i="7" s="1"/>
  <c r="K14" i="7" s="1"/>
  <c r="J12" i="7"/>
  <c r="K12" i="7" s="1"/>
  <c r="A81" i="6" l="1"/>
  <c r="I80" i="6"/>
  <c r="J13" i="7"/>
  <c r="K13" i="7" s="1"/>
  <c r="H14" i="7"/>
  <c r="I15" i="7" s="1"/>
  <c r="A82" i="6" l="1"/>
  <c r="I81" i="6"/>
  <c r="J15" i="7"/>
  <c r="K15" i="7" s="1"/>
  <c r="A83" i="6" l="1"/>
  <c r="I82" i="6"/>
  <c r="H15" i="7"/>
  <c r="I16" i="7" s="1"/>
  <c r="A84" i="6" l="1"/>
  <c r="I83" i="6"/>
  <c r="J16" i="7"/>
  <c r="K16" i="7" s="1"/>
  <c r="A85" i="6" l="1"/>
  <c r="I84" i="6"/>
  <c r="H16" i="7"/>
  <c r="I17" i="7" s="1"/>
  <c r="A86" i="6" l="1"/>
  <c r="I85" i="6"/>
  <c r="J17" i="7"/>
  <c r="K17" i="7" s="1"/>
  <c r="A87" i="6" l="1"/>
  <c r="I86" i="6"/>
  <c r="H17" i="7"/>
  <c r="I18" i="7" s="1"/>
  <c r="A88" i="6" l="1"/>
  <c r="I87" i="6"/>
  <c r="J18" i="7"/>
  <c r="K18" i="7" s="1"/>
  <c r="A89" i="6" l="1"/>
  <c r="I88" i="6"/>
  <c r="H18" i="7"/>
  <c r="I19" i="7" s="1"/>
  <c r="A90" i="6" l="1"/>
  <c r="I89" i="6"/>
  <c r="J19" i="7"/>
  <c r="K19" i="7" s="1"/>
  <c r="H19" i="7"/>
  <c r="A91" i="6" l="1"/>
  <c r="I90" i="6"/>
  <c r="I20" i="7"/>
  <c r="J20" i="7" s="1"/>
  <c r="K20" i="7" s="1"/>
  <c r="A92" i="6" l="1"/>
  <c r="I92" i="6" s="1"/>
  <c r="I91" i="6"/>
  <c r="H20" i="7"/>
  <c r="I21" i="7" s="1"/>
  <c r="J21" i="7" s="1"/>
  <c r="K21" i="7" s="1"/>
  <c r="H21" i="7" l="1"/>
  <c r="I22" i="7" s="1"/>
  <c r="J22" i="7" l="1"/>
  <c r="K22" i="7" s="1"/>
  <c r="H22" i="7" l="1"/>
  <c r="I23" i="7" s="1"/>
  <c r="J23" i="7" l="1"/>
  <c r="K23" i="7" s="1"/>
  <c r="H23" i="7" l="1"/>
  <c r="I24" i="7" l="1"/>
  <c r="J24" i="7" s="1"/>
  <c r="K24" i="7" s="1"/>
  <c r="H24" i="7" l="1"/>
  <c r="I25" i="7" s="1"/>
  <c r="J25" i="7" s="1"/>
  <c r="K25" i="7" s="1"/>
  <c r="H25" i="7" l="1"/>
  <c r="I26" i="7" s="1"/>
  <c r="J26" i="7" s="1"/>
  <c r="K26" i="7" s="1"/>
  <c r="H26" i="7" l="1"/>
  <c r="I27" i="7" s="1"/>
  <c r="J27" i="7" l="1"/>
  <c r="K27" i="7" s="1"/>
  <c r="H27" i="7" l="1"/>
  <c r="I28" i="7" s="1"/>
  <c r="J28" i="7" l="1"/>
  <c r="K28" i="7" s="1"/>
  <c r="H28" i="7" l="1"/>
  <c r="I29" i="7" s="1"/>
  <c r="J29" i="7" l="1"/>
  <c r="K29" i="7" s="1"/>
  <c r="H29" i="7" l="1"/>
  <c r="I30" i="7" s="1"/>
  <c r="J30" i="7" l="1"/>
  <c r="K30" i="7" s="1"/>
  <c r="H30" i="7"/>
  <c r="I31" i="7" l="1"/>
  <c r="J31" i="7" s="1"/>
  <c r="K31" i="7" s="1"/>
  <c r="H31" i="7" l="1"/>
  <c r="I32" i="7" l="1"/>
  <c r="J32" i="7" s="1"/>
  <c r="K32" i="7" s="1"/>
  <c r="H32" i="7" l="1"/>
  <c r="I33" i="7" s="1"/>
  <c r="H33" i="7" s="1"/>
  <c r="I34" i="7" l="1"/>
  <c r="J34" i="7" s="1"/>
  <c r="K34" i="7" s="1"/>
  <c r="J33" i="7"/>
  <c r="K33" i="7" s="1"/>
  <c r="H34" i="7" l="1"/>
  <c r="I35" i="7" s="1"/>
  <c r="H35" i="7" s="1"/>
  <c r="J35" i="7" l="1"/>
  <c r="K35" i="7" s="1"/>
  <c r="I36" i="7"/>
  <c r="H36" i="7" s="1"/>
  <c r="J36" i="7" l="1"/>
  <c r="K36" i="7" s="1"/>
  <c r="I37" i="7"/>
  <c r="H37" i="7" s="1"/>
  <c r="J37" i="7" l="1"/>
  <c r="K37" i="7" s="1"/>
  <c r="I38" i="7"/>
  <c r="J38" i="7" s="1"/>
  <c r="K38" i="7" s="1"/>
  <c r="H38" i="7" l="1"/>
  <c r="I39" i="7" l="1"/>
  <c r="J39" i="7" s="1"/>
  <c r="K39" i="7" s="1"/>
  <c r="H39" i="7" l="1"/>
  <c r="I40" i="7" s="1"/>
  <c r="J40" i="7" s="1"/>
  <c r="K40" i="7" s="1"/>
  <c r="H40" i="7" l="1"/>
  <c r="I41" i="7" s="1"/>
  <c r="J41" i="7" s="1"/>
  <c r="K41" i="7" s="1"/>
  <c r="H41" i="7" l="1"/>
  <c r="I42" i="7" s="1"/>
  <c r="J42" i="7" l="1"/>
  <c r="K42" i="7" s="1"/>
  <c r="H42" i="7"/>
  <c r="I43" i="7" l="1"/>
  <c r="J43" i="7" s="1"/>
  <c r="K43" i="7" s="1"/>
  <c r="H43" i="7" l="1"/>
  <c r="I44" i="7" s="1"/>
  <c r="J44" i="7" s="1"/>
  <c r="K44" i="7" s="1"/>
  <c r="H44" i="7" l="1"/>
  <c r="I45" i="7" l="1"/>
  <c r="J45" i="7" s="1"/>
  <c r="K45" i="7" s="1"/>
  <c r="H45" i="7" l="1"/>
  <c r="I46" i="7" l="1"/>
  <c r="J46" i="7" s="1"/>
  <c r="K46" i="7" s="1"/>
  <c r="H46" i="7" l="1"/>
  <c r="I47" i="7" l="1"/>
  <c r="J47" i="7" s="1"/>
  <c r="K47" i="7" s="1"/>
  <c r="H47" i="7" l="1"/>
  <c r="I48" i="7" l="1"/>
  <c r="J48" i="7" s="1"/>
  <c r="K48" i="7" s="1"/>
  <c r="H48" i="7" l="1"/>
  <c r="I49" i="7" l="1"/>
  <c r="J49" i="7" s="1"/>
  <c r="K49" i="7" s="1"/>
  <c r="H49" i="7" l="1"/>
  <c r="I50" i="7" l="1"/>
  <c r="J50" i="7" s="1"/>
  <c r="K50" i="7" s="1"/>
  <c r="H50" i="7" l="1"/>
  <c r="I51" i="7" s="1"/>
  <c r="J51" i="7" s="1"/>
  <c r="K51" i="7" s="1"/>
  <c r="H51" i="7" l="1"/>
  <c r="I52" i="7" s="1"/>
  <c r="J52" i="7" s="1"/>
  <c r="K52" i="7" s="1"/>
  <c r="H52" i="7" l="1"/>
  <c r="I53" i="7" l="1"/>
  <c r="J53" i="7" s="1"/>
  <c r="K53" i="7" s="1"/>
  <c r="H53" i="7" l="1"/>
  <c r="I54" i="7" s="1"/>
  <c r="J54" i="7" s="1"/>
  <c r="K54" i="7" s="1"/>
  <c r="H54" i="7" l="1"/>
  <c r="I55" i="7" l="1"/>
  <c r="J55" i="7" s="1"/>
  <c r="K55" i="7" s="1"/>
  <c r="H55" i="7" l="1"/>
  <c r="I56" i="7" s="1"/>
  <c r="H56" i="7" s="1"/>
  <c r="J56" i="7" l="1"/>
  <c r="K56" i="7" s="1"/>
  <c r="I57" i="7"/>
  <c r="J57" i="7" s="1"/>
  <c r="K57" i="7" s="1"/>
  <c r="H57" i="7" l="1"/>
  <c r="I58" i="7" s="1"/>
  <c r="J58" i="7" s="1"/>
  <c r="K58" i="7" s="1"/>
  <c r="H58" i="7" l="1"/>
  <c r="I59" i="7" s="1"/>
  <c r="J59" i="7" s="1"/>
  <c r="K59" i="7" s="1"/>
  <c r="H59" i="7" l="1"/>
  <c r="I60" i="7" s="1"/>
  <c r="J60" i="7" s="1"/>
  <c r="K60" i="7" s="1"/>
  <c r="H60" i="7" l="1"/>
  <c r="I61" i="7" s="1"/>
  <c r="J61" i="7" s="1"/>
  <c r="K61" i="7" s="1"/>
  <c r="H61" i="7" l="1"/>
  <c r="I62" i="7" s="1"/>
  <c r="J62" i="7" s="1"/>
  <c r="K62" i="7" s="1"/>
  <c r="H62" i="7" l="1"/>
  <c r="I63" i="7" l="1"/>
  <c r="J63" i="7" s="1"/>
  <c r="K63" i="7" s="1"/>
  <c r="H63" i="7" l="1"/>
  <c r="I64" i="7" s="1"/>
  <c r="J64" i="7" s="1"/>
  <c r="K64" i="7" s="1"/>
  <c r="H64" i="7" l="1"/>
  <c r="I65" i="7" s="1"/>
  <c r="J65" i="7" s="1"/>
  <c r="K65" i="7" s="1"/>
  <c r="H65" i="7" l="1"/>
  <c r="I66" i="7" l="1"/>
  <c r="J66" i="7" s="1"/>
  <c r="K66" i="7" s="1"/>
  <c r="H66" i="7" l="1"/>
  <c r="I67" i="7" l="1"/>
  <c r="J67" i="7" s="1"/>
  <c r="K67" i="7" s="1"/>
  <c r="H67" i="7" l="1"/>
  <c r="I68" i="7" s="1"/>
  <c r="J68" i="7" s="1"/>
  <c r="K68" i="7" s="1"/>
  <c r="H68" i="7" l="1"/>
  <c r="I69" i="7" l="1"/>
  <c r="J69" i="7" s="1"/>
  <c r="K69" i="7" s="1"/>
  <c r="H69" i="7" l="1"/>
  <c r="I70" i="7" s="1"/>
  <c r="J70" i="7" s="1"/>
  <c r="K70" i="7" s="1"/>
  <c r="H70" i="7" l="1"/>
  <c r="I71" i="7" l="1"/>
  <c r="J71" i="7" s="1"/>
  <c r="K71" i="7" s="1"/>
  <c r="H71" i="7" l="1"/>
  <c r="I72" i="7" s="1"/>
  <c r="J72" i="7" s="1"/>
  <c r="K72" i="7" s="1"/>
  <c r="H72" i="7" l="1"/>
  <c r="I73" i="7" l="1"/>
  <c r="J73" i="7" s="1"/>
  <c r="K73" i="7" s="1"/>
  <c r="H73" i="7" l="1"/>
  <c r="I74" i="7" l="1"/>
  <c r="J74" i="7" s="1"/>
  <c r="K74" i="7" s="1"/>
  <c r="H74" i="7" l="1"/>
  <c r="I75" i="7" s="1"/>
  <c r="J75" i="7" s="1"/>
  <c r="K75" i="7" s="1"/>
  <c r="H75" i="7" l="1"/>
  <c r="I76" i="7" l="1"/>
  <c r="J76" i="7" s="1"/>
  <c r="K76" i="7" s="1"/>
  <c r="H76" i="7" l="1"/>
  <c r="I77" i="7" s="1"/>
  <c r="J77" i="7" s="1"/>
  <c r="K77" i="7" s="1"/>
  <c r="H77" i="7" l="1"/>
  <c r="I78" i="7" l="1"/>
  <c r="J78" i="7" s="1"/>
  <c r="K78" i="7" s="1"/>
  <c r="H78" i="7" l="1"/>
  <c r="I79" i="7" l="1"/>
  <c r="J79" i="7" s="1"/>
  <c r="K79" i="7" s="1"/>
  <c r="H79" i="7" l="1"/>
  <c r="I80" i="7" s="1"/>
  <c r="J80" i="7" s="1"/>
  <c r="K80" i="7" s="1"/>
  <c r="H80" i="7" l="1"/>
  <c r="I81" i="7" l="1"/>
  <c r="J81" i="7" s="1"/>
  <c r="K81" i="7" s="1"/>
  <c r="H81" i="7" l="1"/>
  <c r="I82" i="7" l="1"/>
  <c r="J82" i="7" s="1"/>
  <c r="K82" i="7" s="1"/>
  <c r="H82" i="7" l="1"/>
  <c r="I83" i="7" s="1"/>
  <c r="J83" i="7" s="1"/>
  <c r="K83" i="7" s="1"/>
  <c r="H83" i="7" l="1"/>
  <c r="I84" i="7" l="1"/>
  <c r="J84" i="7" s="1"/>
  <c r="K84" i="7" s="1"/>
  <c r="H84" i="7" l="1"/>
  <c r="I85" i="7" l="1"/>
  <c r="J85" i="7" s="1"/>
  <c r="K85" i="7" s="1"/>
  <c r="H85" i="7" l="1"/>
  <c r="I86" i="7" l="1"/>
  <c r="J86" i="7" s="1"/>
  <c r="K86" i="7" s="1"/>
  <c r="B13" i="7" s="1"/>
  <c r="H86" i="7" l="1"/>
  <c r="B14" i="7"/>
  <c r="B20" i="7" s="1"/>
  <c r="C20" i="7" l="1"/>
  <c r="B21" i="7"/>
  <c r="B23" i="7" l="1"/>
  <c r="C23" i="7" s="1"/>
  <c r="C21" i="7"/>
  <c r="D20" i="7"/>
  <c r="B39" i="8" l="1"/>
  <c r="B8" i="6" l="1"/>
  <c r="B9" i="6" s="1"/>
  <c r="B10" i="6" l="1"/>
  <c r="L9" i="6"/>
  <c r="B11" i="6" l="1"/>
  <c r="L10" i="6"/>
  <c r="B12" i="6" l="1"/>
  <c r="L11" i="6"/>
  <c r="B13" i="6" l="1"/>
  <c r="L12" i="6"/>
  <c r="B14" i="6" l="1"/>
  <c r="L13" i="6"/>
  <c r="B15" i="6" l="1"/>
  <c r="L14" i="6"/>
  <c r="B16" i="6" l="1"/>
  <c r="L15" i="6"/>
  <c r="B17" i="6" l="1"/>
  <c r="L16" i="6"/>
  <c r="B18" i="6" l="1"/>
  <c r="L17" i="6"/>
  <c r="B19" i="6" l="1"/>
  <c r="L18" i="6"/>
  <c r="B20" i="6" l="1"/>
  <c r="L19" i="6"/>
  <c r="B21" i="6" l="1"/>
  <c r="L20" i="6"/>
  <c r="B22" i="6" l="1"/>
  <c r="L21" i="6"/>
  <c r="B23" i="6" l="1"/>
  <c r="L22" i="6"/>
  <c r="B24" i="6" l="1"/>
  <c r="L23" i="6"/>
  <c r="B25" i="6" l="1"/>
  <c r="L24" i="6"/>
  <c r="B26" i="6" l="1"/>
  <c r="L25" i="6"/>
  <c r="B27" i="6" l="1"/>
  <c r="L26" i="6"/>
  <c r="B28" i="6" l="1"/>
  <c r="L27" i="6"/>
  <c r="B29" i="6" l="1"/>
  <c r="L28" i="6"/>
  <c r="B30" i="6" l="1"/>
  <c r="L29" i="6"/>
  <c r="B31" i="6" l="1"/>
  <c r="L30" i="6"/>
  <c r="B32" i="6" l="1"/>
  <c r="L31" i="6"/>
  <c r="B33" i="6" l="1"/>
  <c r="L32" i="6"/>
  <c r="B34" i="6" l="1"/>
  <c r="L33" i="6"/>
  <c r="B35" i="6" l="1"/>
  <c r="L34" i="6"/>
  <c r="B36" i="6" l="1"/>
  <c r="L35" i="6"/>
  <c r="B37" i="6" l="1"/>
  <c r="L36" i="6"/>
  <c r="B38" i="6" l="1"/>
  <c r="L37" i="6"/>
  <c r="B39" i="6" l="1"/>
  <c r="L38" i="6"/>
  <c r="B40" i="6" l="1"/>
  <c r="L39" i="6"/>
  <c r="B41" i="6" l="1"/>
  <c r="L40" i="6"/>
  <c r="B42" i="6" l="1"/>
  <c r="L41" i="6"/>
  <c r="B43" i="6" l="1"/>
  <c r="L42" i="6"/>
  <c r="B44" i="6" l="1"/>
  <c r="L43" i="6"/>
  <c r="B45" i="6" l="1"/>
  <c r="L44" i="6"/>
  <c r="B46" i="6" l="1"/>
  <c r="L45" i="6"/>
  <c r="B47" i="6" l="1"/>
  <c r="L46" i="6"/>
  <c r="B48" i="6" l="1"/>
  <c r="L47" i="6"/>
  <c r="B49" i="6" l="1"/>
  <c r="L48" i="6"/>
  <c r="B50" i="6" l="1"/>
  <c r="L49" i="6"/>
  <c r="B51" i="6" l="1"/>
  <c r="L50" i="6"/>
  <c r="B52" i="6" l="1"/>
  <c r="L51" i="6"/>
  <c r="B53" i="6" l="1"/>
  <c r="L52" i="6"/>
  <c r="B54" i="6" l="1"/>
  <c r="L53" i="6"/>
  <c r="B55" i="6" l="1"/>
  <c r="L54" i="6"/>
  <c r="B56" i="6" l="1"/>
  <c r="L55" i="6"/>
  <c r="B57" i="6" l="1"/>
  <c r="L56" i="6"/>
  <c r="B58" i="6" l="1"/>
  <c r="L57" i="6"/>
  <c r="B59" i="6" l="1"/>
  <c r="L58" i="6"/>
  <c r="B60" i="6" l="1"/>
  <c r="L59" i="6"/>
  <c r="B61" i="6" l="1"/>
  <c r="L60" i="6"/>
  <c r="B62" i="6" l="1"/>
  <c r="L61" i="6"/>
  <c r="B63" i="6" l="1"/>
  <c r="L62" i="6"/>
  <c r="B64" i="6" l="1"/>
  <c r="L63" i="6"/>
  <c r="B65" i="6" l="1"/>
  <c r="L64" i="6"/>
  <c r="B66" i="6" l="1"/>
  <c r="L65" i="6"/>
  <c r="B67" i="6" l="1"/>
  <c r="L66" i="6"/>
  <c r="B68" i="6" l="1"/>
  <c r="L67" i="6"/>
  <c r="B69" i="6" l="1"/>
  <c r="L68" i="6"/>
  <c r="B70" i="6" l="1"/>
  <c r="L69" i="6"/>
  <c r="B71" i="6" l="1"/>
  <c r="L70" i="6"/>
  <c r="B72" i="6" l="1"/>
  <c r="L71" i="6"/>
  <c r="B73" i="6" l="1"/>
  <c r="L72" i="6"/>
  <c r="B74" i="6" l="1"/>
  <c r="L73" i="6"/>
  <c r="B75" i="6" l="1"/>
  <c r="L74" i="6"/>
  <c r="B76" i="6" l="1"/>
  <c r="L75" i="6"/>
  <c r="B77" i="6" l="1"/>
  <c r="L76" i="6"/>
  <c r="B78" i="6" l="1"/>
  <c r="L77" i="6"/>
  <c r="B79" i="6" l="1"/>
  <c r="L78" i="6"/>
  <c r="B80" i="6" l="1"/>
  <c r="L79" i="6"/>
  <c r="B81" i="6" l="1"/>
  <c r="L80" i="6"/>
  <c r="B82" i="6" l="1"/>
  <c r="L81" i="6"/>
  <c r="B83" i="6" l="1"/>
  <c r="L82" i="6"/>
  <c r="B84" i="6" l="1"/>
  <c r="L83" i="6"/>
  <c r="B85" i="6" l="1"/>
  <c r="L84" i="6"/>
  <c r="B86" i="6" l="1"/>
  <c r="L85" i="6"/>
  <c r="B87" i="6" l="1"/>
  <c r="L86" i="6"/>
  <c r="B88" i="6" l="1"/>
  <c r="L87" i="6"/>
  <c r="B89" i="6" l="1"/>
  <c r="L88" i="6"/>
  <c r="B90" i="6" l="1"/>
  <c r="L89" i="6"/>
  <c r="B91" i="6" l="1"/>
  <c r="L90" i="6"/>
  <c r="B92" i="6" l="1"/>
  <c r="L92" i="6" s="1"/>
  <c r="L91" i="6"/>
  <c r="C43" i="8" l="1"/>
  <c r="B43" i="8"/>
  <c r="D10" i="11"/>
  <c r="F10" i="11" s="1"/>
  <c r="B44" i="8"/>
  <c r="B51" i="8" s="1"/>
  <c r="C51" i="8" s="1"/>
  <c r="C44" i="8"/>
  <c r="D9" i="11"/>
  <c r="C39" i="8"/>
  <c r="B46" i="8" l="1"/>
  <c r="F4" i="8" s="1"/>
  <c r="B50" i="8"/>
  <c r="C50" i="8" s="1"/>
  <c r="C46" i="8"/>
  <c r="F9" i="11"/>
  <c r="L4" i="8" l="1"/>
  <c r="G5" i="8" l="1"/>
  <c r="F5" i="8" s="1"/>
  <c r="G6" i="8" s="1"/>
  <c r="F6" i="8" s="1"/>
  <c r="D8" i="6"/>
  <c r="E9" i="6" s="1"/>
  <c r="G7" i="8" l="1"/>
  <c r="F7" i="8" s="1"/>
  <c r="D9" i="6"/>
  <c r="E10" i="6" l="1"/>
  <c r="D10" i="6" s="1"/>
  <c r="G8" i="8"/>
  <c r="E11" i="6" l="1"/>
  <c r="D11" i="6" s="1"/>
  <c r="F8" i="8"/>
  <c r="E12" i="6" l="1"/>
  <c r="G9" i="8"/>
  <c r="F9" i="8" s="1"/>
  <c r="G10" i="8" l="1"/>
  <c r="D12" i="6"/>
  <c r="E13" i="6" l="1"/>
  <c r="D13" i="6" s="1"/>
  <c r="F10" i="8"/>
  <c r="E14" i="6" l="1"/>
  <c r="D14" i="6" s="1"/>
  <c r="G11" i="8"/>
  <c r="F11" i="8" s="1"/>
  <c r="G12" i="8" l="1"/>
  <c r="F12" i="8" s="1"/>
  <c r="E15" i="6"/>
  <c r="D15" i="6" s="1"/>
  <c r="E16" i="6" l="1"/>
  <c r="D16" i="6" s="1"/>
  <c r="G13" i="8"/>
  <c r="F13" i="8" s="1"/>
  <c r="E17" i="6" l="1"/>
  <c r="D17" i="6" s="1"/>
  <c r="G14" i="8"/>
  <c r="F14" i="8" s="1"/>
  <c r="E18" i="6" l="1"/>
  <c r="D18" i="6" s="1"/>
  <c r="G15" i="8"/>
  <c r="F15" i="8" s="1"/>
  <c r="E19" i="6" l="1"/>
  <c r="D19" i="6" s="1"/>
  <c r="G16" i="8"/>
  <c r="F16" i="8" s="1"/>
  <c r="G17" i="8" l="1"/>
  <c r="F17" i="8" s="1"/>
  <c r="E20" i="6"/>
  <c r="D20" i="6" s="1"/>
  <c r="E21" i="6" l="1"/>
  <c r="D21" i="6" s="1"/>
  <c r="G18" i="8"/>
  <c r="F18" i="8" s="1"/>
  <c r="G19" i="8" l="1"/>
  <c r="F19" i="8" s="1"/>
  <c r="E22" i="6"/>
  <c r="D22" i="6" s="1"/>
  <c r="E23" i="6" l="1"/>
  <c r="D23" i="6" s="1"/>
  <c r="G20" i="8"/>
  <c r="F20" i="8" s="1"/>
  <c r="E24" i="6" l="1"/>
  <c r="D24" i="6" s="1"/>
  <c r="G21" i="8"/>
  <c r="F21" i="8" s="1"/>
  <c r="E25" i="6" l="1"/>
  <c r="D25" i="6" s="1"/>
  <c r="G22" i="8"/>
  <c r="F22" i="8" s="1"/>
  <c r="E26" i="6" l="1"/>
  <c r="D26" i="6" s="1"/>
  <c r="G23" i="8"/>
  <c r="F23" i="8" s="1"/>
  <c r="E27" i="6" l="1"/>
  <c r="D27" i="6" s="1"/>
  <c r="G24" i="8"/>
  <c r="F24" i="8" s="1"/>
  <c r="G25" i="8" l="1"/>
  <c r="F25" i="8" s="1"/>
  <c r="E28" i="6"/>
  <c r="D28" i="6" s="1"/>
  <c r="E29" i="6" l="1"/>
  <c r="D29" i="6" s="1"/>
  <c r="G26" i="8"/>
  <c r="F26" i="8" s="1"/>
  <c r="G27" i="8" l="1"/>
  <c r="F27" i="8" s="1"/>
  <c r="E30" i="6"/>
  <c r="D30" i="6" s="1"/>
  <c r="E31" i="6" l="1"/>
  <c r="D31" i="6" s="1"/>
  <c r="G28" i="8"/>
  <c r="E32" i="6" l="1"/>
  <c r="D32" i="6" s="1"/>
  <c r="F28" i="8"/>
  <c r="E33" i="6" l="1"/>
  <c r="D33" i="6" s="1"/>
  <c r="G29" i="8"/>
  <c r="F29" i="8" s="1"/>
  <c r="E34" i="6" l="1"/>
  <c r="D34" i="6" s="1"/>
  <c r="G30" i="8"/>
  <c r="F30" i="8" s="1"/>
  <c r="G31" i="8" l="1"/>
  <c r="F31" i="8" s="1"/>
  <c r="E35" i="6"/>
  <c r="D35" i="6" s="1"/>
  <c r="E36" i="6" l="1"/>
  <c r="D36" i="6" s="1"/>
  <c r="G32" i="8"/>
  <c r="F32" i="8" s="1"/>
  <c r="G33" i="8" l="1"/>
  <c r="E37" i="6"/>
  <c r="D37" i="6" s="1"/>
  <c r="E38" i="6" l="1"/>
  <c r="D38" i="6" s="1"/>
  <c r="F33" i="8"/>
  <c r="E39" i="6" l="1"/>
  <c r="D39" i="6" s="1"/>
  <c r="G34" i="8"/>
  <c r="F34" i="8" s="1"/>
  <c r="G35" i="8" l="1"/>
  <c r="F35" i="8" s="1"/>
  <c r="E40" i="6"/>
  <c r="D40" i="6" l="1"/>
  <c r="G36" i="8"/>
  <c r="F36" i="8" l="1"/>
  <c r="E41" i="6"/>
  <c r="D41" i="6" l="1"/>
  <c r="G37" i="8"/>
  <c r="F37" i="8" s="1"/>
  <c r="G38" i="8" l="1"/>
  <c r="F38" i="8" s="1"/>
  <c r="E42" i="6"/>
  <c r="D42" i="6" s="1"/>
  <c r="E43" i="6" l="1"/>
  <c r="D43" i="6" s="1"/>
  <c r="G39" i="8"/>
  <c r="F39" i="8" s="1"/>
  <c r="G40" i="8" l="1"/>
  <c r="F40" i="8" s="1"/>
  <c r="E44" i="6"/>
  <c r="D44" i="6" s="1"/>
  <c r="E45" i="6" l="1"/>
  <c r="D45" i="6" s="1"/>
  <c r="G41" i="8"/>
  <c r="F41" i="8" s="1"/>
  <c r="G42" i="8" l="1"/>
  <c r="F42" i="8" s="1"/>
  <c r="E46" i="6"/>
  <c r="D46" i="6" s="1"/>
  <c r="E47" i="6" l="1"/>
  <c r="D47" i="6" s="1"/>
  <c r="G43" i="8"/>
  <c r="F43" i="8" s="1"/>
  <c r="G44" i="8" l="1"/>
  <c r="F44" i="8" s="1"/>
  <c r="E48" i="6"/>
  <c r="G45" i="8" l="1"/>
  <c r="D48" i="6"/>
  <c r="E49" i="6" l="1"/>
  <c r="D49" i="6" s="1"/>
  <c r="F45" i="8"/>
  <c r="E50" i="6" l="1"/>
  <c r="D50" i="6" s="1"/>
  <c r="G46" i="8"/>
  <c r="F46" i="8" s="1"/>
  <c r="E51" i="6" l="1"/>
  <c r="G47" i="8"/>
  <c r="F47" i="8" l="1"/>
  <c r="D51" i="6"/>
  <c r="G48" i="8" l="1"/>
  <c r="F48" i="8" s="1"/>
  <c r="E52" i="6"/>
  <c r="G49" i="8" l="1"/>
  <c r="D52" i="6"/>
  <c r="E53" i="6" l="1"/>
  <c r="D53" i="6" s="1"/>
  <c r="F49" i="8"/>
  <c r="E54" i="6" l="1"/>
  <c r="D54" i="6" s="1"/>
  <c r="G50" i="8"/>
  <c r="E55" i="6" l="1"/>
  <c r="D55" i="6" s="1"/>
  <c r="F50" i="8"/>
  <c r="E56" i="6" l="1"/>
  <c r="D56" i="6" s="1"/>
  <c r="G51" i="8"/>
  <c r="F51" i="8" s="1"/>
  <c r="E57" i="6" l="1"/>
  <c r="D57" i="6" s="1"/>
  <c r="G52" i="8"/>
  <c r="F52" i="8" s="1"/>
  <c r="E58" i="6" l="1"/>
  <c r="D58" i="6" s="1"/>
  <c r="G53" i="8"/>
  <c r="F53" i="8" s="1"/>
  <c r="G54" i="8" l="1"/>
  <c r="E59" i="6"/>
  <c r="D59" i="6" s="1"/>
  <c r="E60" i="6" l="1"/>
  <c r="D60" i="6" s="1"/>
  <c r="F54" i="8"/>
  <c r="E61" i="6" l="1"/>
  <c r="D61" i="6" s="1"/>
  <c r="G55" i="8"/>
  <c r="F55" i="8" s="1"/>
  <c r="E62" i="6" l="1"/>
  <c r="D62" i="6" s="1"/>
  <c r="G56" i="8"/>
  <c r="F56" i="8" s="1"/>
  <c r="G57" i="8" l="1"/>
  <c r="E63" i="6"/>
  <c r="D63" i="6" s="1"/>
  <c r="E64" i="6" l="1"/>
  <c r="D64" i="6" s="1"/>
  <c r="F57" i="8"/>
  <c r="G58" i="8" l="1"/>
  <c r="F58" i="8" s="1"/>
  <c r="E65" i="6"/>
  <c r="G59" i="8" l="1"/>
  <c r="D65" i="6"/>
  <c r="E66" i="6" l="1"/>
  <c r="D66" i="6" s="1"/>
  <c r="F59" i="8"/>
  <c r="E67" i="6" l="1"/>
  <c r="D67" i="6" s="1"/>
  <c r="G60" i="8"/>
  <c r="F60" i="8" s="1"/>
  <c r="G61" i="8" l="1"/>
  <c r="F61" i="8" s="1"/>
  <c r="E68" i="6"/>
  <c r="D68" i="6" l="1"/>
  <c r="G62" i="8"/>
  <c r="F62" i="8" s="1"/>
  <c r="G63" i="8" l="1"/>
  <c r="F63" i="8" s="1"/>
  <c r="E69" i="6"/>
  <c r="D69" i="6" s="1"/>
  <c r="E70" i="6" l="1"/>
  <c r="D70" i="6" s="1"/>
  <c r="G64" i="8"/>
  <c r="F64" i="8" s="1"/>
  <c r="E71" i="6" l="1"/>
  <c r="D71" i="6" s="1"/>
  <c r="G65" i="8"/>
  <c r="F65" i="8" s="1"/>
  <c r="G66" i="8" l="1"/>
  <c r="E72" i="6"/>
  <c r="D72" i="6" s="1"/>
  <c r="E73" i="6" l="1"/>
  <c r="D73" i="6" s="1"/>
  <c r="F66" i="8"/>
  <c r="G67" i="8" l="1"/>
  <c r="F67" i="8" s="1"/>
  <c r="E74" i="6"/>
  <c r="D74" i="6" s="1"/>
  <c r="E75" i="6" l="1"/>
  <c r="D75" i="6" s="1"/>
  <c r="G68" i="8"/>
  <c r="F68" i="8" s="1"/>
  <c r="G69" i="8" l="1"/>
  <c r="F69" i="8" s="1"/>
  <c r="E76" i="6"/>
  <c r="D76" i="6" s="1"/>
  <c r="E77" i="6" l="1"/>
  <c r="D77" i="6" s="1"/>
  <c r="G70" i="8"/>
  <c r="F70" i="8" s="1"/>
  <c r="G71" i="8" l="1"/>
  <c r="E78" i="6"/>
  <c r="D78" i="6" s="1"/>
  <c r="E79" i="6" l="1"/>
  <c r="D79" i="6" s="1"/>
  <c r="F71" i="8"/>
  <c r="E80" i="6" l="1"/>
  <c r="D80" i="6" s="1"/>
  <c r="G72" i="8"/>
  <c r="E81" i="6" l="1"/>
  <c r="D81" i="6" s="1"/>
  <c r="F72" i="8"/>
  <c r="E82" i="6" l="1"/>
  <c r="D82" i="6" s="1"/>
  <c r="G73" i="8"/>
  <c r="F73" i="8" s="1"/>
  <c r="G74" i="8" l="1"/>
  <c r="F74" i="8" s="1"/>
  <c r="E83" i="6"/>
  <c r="D83" i="6" s="1"/>
  <c r="E84" i="6" l="1"/>
  <c r="D84" i="6" s="1"/>
  <c r="G75" i="8"/>
  <c r="F75" i="8" s="1"/>
  <c r="E85" i="6" l="1"/>
  <c r="D85" i="6" s="1"/>
  <c r="G76" i="8"/>
  <c r="F76" i="8" s="1"/>
  <c r="G77" i="8" l="1"/>
  <c r="F77" i="8" s="1"/>
  <c r="E86" i="6"/>
  <c r="G78" i="8" l="1"/>
  <c r="F78" i="8" s="1"/>
  <c r="D86" i="6"/>
  <c r="E87" i="6" l="1"/>
  <c r="D87" i="6" s="1"/>
  <c r="G79" i="8"/>
  <c r="E88" i="6" l="1"/>
  <c r="D88" i="6" s="1"/>
  <c r="F79" i="8"/>
  <c r="G80" i="8" l="1"/>
  <c r="F80" i="8" s="1"/>
  <c r="E89" i="6"/>
  <c r="D89" i="6" s="1"/>
  <c r="G81" i="8" l="1"/>
  <c r="E90" i="6"/>
  <c r="D90" i="6" s="1"/>
  <c r="E91" i="6" l="1"/>
  <c r="D91" i="6" s="1"/>
  <c r="F81" i="8"/>
  <c r="E92" i="6" l="1"/>
  <c r="D92" i="6" s="1"/>
  <c r="G82" i="8"/>
  <c r="F82" i="8" s="1"/>
  <c r="G83" i="8" l="1"/>
  <c r="F83" i="8" s="1"/>
  <c r="E93" i="6"/>
  <c r="G84" i="8" l="1"/>
  <c r="F84" i="8" s="1"/>
  <c r="G85" i="8" l="1"/>
  <c r="F85" i="8" s="1"/>
  <c r="G86" i="8" l="1"/>
  <c r="F86" i="8" s="1"/>
  <c r="G87" i="8" l="1"/>
  <c r="F87" i="8" s="1"/>
  <c r="G88" i="8" l="1"/>
  <c r="F88" i="8" s="1"/>
  <c r="F89" i="8" s="1"/>
  <c r="B47" i="8" l="1"/>
  <c r="B48" i="8" s="1"/>
  <c r="C47" i="8"/>
  <c r="C48" i="8" s="1"/>
  <c r="G89" i="8"/>
  <c r="C53" i="8" l="1"/>
  <c r="C65" i="8" s="1"/>
  <c r="C67" i="8" s="1"/>
  <c r="B53" i="8"/>
  <c r="B55" i="8" l="1"/>
  <c r="B75" i="8" s="1"/>
  <c r="B65" i="8"/>
  <c r="B67" i="8" s="1"/>
  <c r="B19" i="8" s="1"/>
  <c r="B20" i="8" s="1"/>
  <c r="B21" i="8" s="1"/>
  <c r="B22" i="8" s="1"/>
  <c r="B57" i="8" l="1"/>
  <c r="B71" i="8" s="1"/>
  <c r="B73" i="8" s="1"/>
  <c r="B26" i="8" s="1"/>
  <c r="B27" i="8" s="1"/>
  <c r="B28" i="8" s="1"/>
  <c r="B29" i="8" s="1"/>
  <c r="B2" i="6"/>
  <c r="M15" i="6"/>
  <c r="N15" i="6" s="1"/>
  <c r="O15" i="6" s="1"/>
  <c r="M39" i="6"/>
  <c r="N39" i="6" s="1"/>
  <c r="O39" i="6" s="1"/>
  <c r="M40" i="6"/>
  <c r="N40" i="6" s="1"/>
  <c r="O40" i="6" s="1"/>
  <c r="M41" i="6"/>
  <c r="N41" i="6" s="1"/>
  <c r="O41" i="6" s="1"/>
  <c r="M42" i="6"/>
  <c r="N42" i="6" s="1"/>
  <c r="O42" i="6" s="1"/>
  <c r="M48" i="6"/>
  <c r="N48" i="6" s="1"/>
  <c r="O48" i="6" s="1"/>
  <c r="M43" i="6"/>
  <c r="N43" i="6" s="1"/>
  <c r="O43" i="6" s="1"/>
  <c r="M44" i="6"/>
  <c r="N44" i="6" s="1"/>
  <c r="O44" i="6" s="1"/>
  <c r="M45" i="6"/>
  <c r="N45" i="6" s="1"/>
  <c r="O45" i="6" s="1"/>
  <c r="M47" i="6"/>
  <c r="N47" i="6" s="1"/>
  <c r="O47" i="6" s="1"/>
  <c r="M49" i="6"/>
  <c r="N49" i="6" s="1"/>
  <c r="O49" i="6" s="1"/>
  <c r="M14" i="6"/>
  <c r="N14" i="6" s="1"/>
  <c r="O14" i="6" s="1"/>
  <c r="M46" i="6"/>
  <c r="N46" i="6" s="1"/>
  <c r="O46" i="6" s="1"/>
  <c r="M38" i="6"/>
  <c r="N38" i="6" s="1"/>
  <c r="O38" i="6" s="1"/>
  <c r="M50" i="6"/>
  <c r="N50" i="6" s="1"/>
  <c r="O50" i="6" s="1"/>
  <c r="M51" i="6"/>
  <c r="N51" i="6" s="1"/>
  <c r="O51" i="6" s="1"/>
  <c r="M52" i="6"/>
  <c r="N52" i="6" s="1"/>
  <c r="O52" i="6" s="1"/>
  <c r="M53" i="6"/>
  <c r="N53" i="6" s="1"/>
  <c r="O53" i="6" s="1"/>
  <c r="M54" i="6"/>
  <c r="N54" i="6" s="1"/>
  <c r="O54" i="6" s="1"/>
  <c r="M55" i="6"/>
  <c r="N55" i="6" s="1"/>
  <c r="O55" i="6" s="1"/>
  <c r="M56" i="6"/>
  <c r="N56" i="6" s="1"/>
  <c r="O56" i="6" s="1"/>
  <c r="M16" i="6"/>
  <c r="N16" i="6" s="1"/>
  <c r="O16" i="6" s="1"/>
  <c r="M57" i="6"/>
  <c r="N57" i="6" s="1"/>
  <c r="O57" i="6" s="1"/>
  <c r="M58" i="6"/>
  <c r="N58" i="6" s="1"/>
  <c r="O58" i="6" s="1"/>
  <c r="M59" i="6"/>
  <c r="N59" i="6" s="1"/>
  <c r="O59" i="6" s="1"/>
  <c r="M60" i="6"/>
  <c r="N60" i="6" s="1"/>
  <c r="O60" i="6" s="1"/>
  <c r="M17" i="6"/>
  <c r="N17" i="6" s="1"/>
  <c r="O17" i="6" s="1"/>
  <c r="M18" i="6"/>
  <c r="N18" i="6" s="1"/>
  <c r="O18" i="6" s="1"/>
  <c r="M19" i="6"/>
  <c r="N19" i="6" s="1"/>
  <c r="O19" i="6" s="1"/>
  <c r="M20" i="6"/>
  <c r="N20" i="6" s="1"/>
  <c r="O20" i="6" s="1"/>
  <c r="M21" i="6"/>
  <c r="N21" i="6" s="1"/>
  <c r="O21" i="6" s="1"/>
  <c r="M22" i="6"/>
  <c r="N22" i="6" s="1"/>
  <c r="O22" i="6" s="1"/>
  <c r="M23" i="6"/>
  <c r="N23" i="6" s="1"/>
  <c r="O23" i="6" s="1"/>
  <c r="M24" i="6"/>
  <c r="N24" i="6" s="1"/>
  <c r="O24" i="6" s="1"/>
  <c r="M25" i="6"/>
  <c r="N25" i="6" s="1"/>
  <c r="O25" i="6" s="1"/>
  <c r="M26" i="6"/>
  <c r="N26" i="6" s="1"/>
  <c r="O26" i="6" s="1"/>
  <c r="M27" i="6"/>
  <c r="N27" i="6" s="1"/>
  <c r="O27" i="6" s="1"/>
  <c r="M28" i="6"/>
  <c r="N28" i="6" s="1"/>
  <c r="O28" i="6" s="1"/>
  <c r="M29" i="6"/>
  <c r="N29" i="6" s="1"/>
  <c r="M30" i="6"/>
  <c r="N30" i="6" s="1"/>
  <c r="O30" i="6" s="1"/>
  <c r="M31" i="6"/>
  <c r="N31" i="6" s="1"/>
  <c r="O31" i="6" s="1"/>
  <c r="M32" i="6"/>
  <c r="N32" i="6" s="1"/>
  <c r="O32" i="6" s="1"/>
  <c r="M33" i="6"/>
  <c r="N33" i="6" s="1"/>
  <c r="O33" i="6" s="1"/>
  <c r="M34" i="6"/>
  <c r="N34" i="6" s="1"/>
  <c r="O34" i="6" s="1"/>
  <c r="M35" i="6"/>
  <c r="N35" i="6" s="1"/>
  <c r="O35" i="6" s="1"/>
  <c r="M36" i="6"/>
  <c r="N36" i="6" s="1"/>
  <c r="O36" i="6" s="1"/>
  <c r="M37" i="6"/>
  <c r="N37" i="6" s="1"/>
  <c r="O37" i="6" s="1"/>
  <c r="M61" i="6"/>
  <c r="N61" i="6" s="1"/>
  <c r="O61" i="6" s="1"/>
  <c r="M62" i="6"/>
  <c r="N62" i="6" s="1"/>
  <c r="O62" i="6" s="1"/>
  <c r="M63" i="6"/>
  <c r="N63" i="6" s="1"/>
  <c r="O63" i="6" s="1"/>
  <c r="M64" i="6"/>
  <c r="N64" i="6" s="1"/>
  <c r="O64" i="6" s="1"/>
  <c r="M65" i="6"/>
  <c r="N65" i="6" s="1"/>
  <c r="O65" i="6" s="1"/>
  <c r="M66" i="6"/>
  <c r="N66" i="6" s="1"/>
  <c r="O66" i="6" s="1"/>
  <c r="M67" i="6"/>
  <c r="N67" i="6" s="1"/>
  <c r="O67" i="6" s="1"/>
  <c r="M68" i="6"/>
  <c r="N68" i="6" s="1"/>
  <c r="O68" i="6" s="1"/>
  <c r="M69" i="6"/>
  <c r="N69" i="6" s="1"/>
  <c r="O69" i="6" s="1"/>
  <c r="M70" i="6"/>
  <c r="N70" i="6" s="1"/>
  <c r="O70" i="6" s="1"/>
  <c r="M71" i="6"/>
  <c r="N71" i="6" s="1"/>
  <c r="O71" i="6" s="1"/>
  <c r="M84" i="6"/>
  <c r="N84" i="6" s="1"/>
  <c r="O84" i="6" s="1"/>
  <c r="M86" i="6"/>
  <c r="N86" i="6" s="1"/>
  <c r="O86" i="6" s="1"/>
  <c r="M88" i="6"/>
  <c r="N88" i="6" s="1"/>
  <c r="O88" i="6" s="1"/>
  <c r="M90" i="6"/>
  <c r="N90" i="6" s="1"/>
  <c r="O90" i="6" s="1"/>
  <c r="M92" i="6"/>
  <c r="N92" i="6" s="1"/>
  <c r="O92" i="6" s="1"/>
  <c r="M9" i="6"/>
  <c r="N9" i="6" s="1"/>
  <c r="O9" i="6" s="1"/>
  <c r="M10" i="6"/>
  <c r="N10" i="6" s="1"/>
  <c r="O10" i="6" s="1"/>
  <c r="M11" i="6"/>
  <c r="N11" i="6" s="1"/>
  <c r="O11" i="6" s="1"/>
  <c r="M12" i="6"/>
  <c r="N12" i="6" s="1"/>
  <c r="O12" i="6" s="1"/>
  <c r="M13" i="6"/>
  <c r="N13" i="6" s="1"/>
  <c r="O13" i="6" s="1"/>
  <c r="M72" i="6"/>
  <c r="N72" i="6" s="1"/>
  <c r="O72" i="6" s="1"/>
  <c r="M73" i="6"/>
  <c r="N73" i="6" s="1"/>
  <c r="O73" i="6" s="1"/>
  <c r="M74" i="6"/>
  <c r="N74" i="6" s="1"/>
  <c r="O74" i="6" s="1"/>
  <c r="M75" i="6"/>
  <c r="N75" i="6" s="1"/>
  <c r="O75" i="6" s="1"/>
  <c r="M76" i="6"/>
  <c r="N76" i="6" s="1"/>
  <c r="O76" i="6" s="1"/>
  <c r="M77" i="6"/>
  <c r="N77" i="6" s="1"/>
  <c r="O77" i="6" s="1"/>
  <c r="M78" i="6"/>
  <c r="N78" i="6" s="1"/>
  <c r="O78" i="6" s="1"/>
  <c r="M79" i="6"/>
  <c r="N79" i="6" s="1"/>
  <c r="O79" i="6" s="1"/>
  <c r="M80" i="6"/>
  <c r="N80" i="6" s="1"/>
  <c r="O80" i="6" s="1"/>
  <c r="M81" i="6"/>
  <c r="N81" i="6" s="1"/>
  <c r="O81" i="6" s="1"/>
  <c r="M82" i="6"/>
  <c r="N82" i="6" s="1"/>
  <c r="O82" i="6" s="1"/>
  <c r="M83" i="6"/>
  <c r="N83" i="6" s="1"/>
  <c r="O83" i="6" s="1"/>
  <c r="M85" i="6"/>
  <c r="N85" i="6" s="1"/>
  <c r="O85" i="6" s="1"/>
  <c r="M87" i="6"/>
  <c r="N87" i="6" s="1"/>
  <c r="O87" i="6" s="1"/>
  <c r="M89" i="6"/>
  <c r="N89" i="6" s="1"/>
  <c r="O89" i="6" s="1"/>
  <c r="M91" i="6"/>
  <c r="N91" i="6" s="1"/>
  <c r="O91" i="6" s="1"/>
  <c r="M5" i="8"/>
  <c r="H5" i="8"/>
  <c r="H6" i="8"/>
  <c r="I6" i="8" s="1"/>
  <c r="H7" i="8"/>
  <c r="I7" i="8" s="1"/>
  <c r="H8" i="8"/>
  <c r="I8" i="8" s="1"/>
  <c r="H9" i="8"/>
  <c r="I9" i="8" s="1"/>
  <c r="H10" i="8"/>
  <c r="I10" i="8" s="1"/>
  <c r="H11" i="8"/>
  <c r="I11" i="8" s="1"/>
  <c r="H12" i="8"/>
  <c r="I12" i="8" s="1"/>
  <c r="H13" i="8"/>
  <c r="I13" i="8" s="1"/>
  <c r="H14" i="8"/>
  <c r="I14" i="8" s="1"/>
  <c r="H15" i="8"/>
  <c r="I15" i="8" s="1"/>
  <c r="H16" i="8"/>
  <c r="I16" i="8" s="1"/>
  <c r="H17" i="8"/>
  <c r="I17" i="8" s="1"/>
  <c r="H18" i="8"/>
  <c r="I18" i="8" s="1"/>
  <c r="H19" i="8"/>
  <c r="I19" i="8" s="1"/>
  <c r="H20" i="8"/>
  <c r="I20" i="8" s="1"/>
  <c r="H21" i="8"/>
  <c r="I21" i="8" s="1"/>
  <c r="H22" i="8"/>
  <c r="I22" i="8" s="1"/>
  <c r="H23" i="8"/>
  <c r="I23" i="8" s="1"/>
  <c r="H24" i="8"/>
  <c r="I24" i="8" s="1"/>
  <c r="H25" i="8"/>
  <c r="I25" i="8" s="1"/>
  <c r="H26" i="8"/>
  <c r="I26" i="8" s="1"/>
  <c r="H27" i="8"/>
  <c r="I27" i="8" s="1"/>
  <c r="H28" i="8"/>
  <c r="I28" i="8" s="1"/>
  <c r="H29" i="8"/>
  <c r="I29" i="8" s="1"/>
  <c r="H30" i="8"/>
  <c r="I30" i="8" s="1"/>
  <c r="H31" i="8"/>
  <c r="I31" i="8" s="1"/>
  <c r="H32" i="8"/>
  <c r="I32" i="8" s="1"/>
  <c r="H33" i="8"/>
  <c r="I33" i="8" s="1"/>
  <c r="H34" i="8"/>
  <c r="I34" i="8" s="1"/>
  <c r="H35" i="8"/>
  <c r="I35" i="8" s="1"/>
  <c r="H36" i="8"/>
  <c r="I36" i="8" s="1"/>
  <c r="H37" i="8"/>
  <c r="I37" i="8" s="1"/>
  <c r="H38" i="8"/>
  <c r="I38" i="8" s="1"/>
  <c r="H39" i="8"/>
  <c r="I39" i="8" s="1"/>
  <c r="H40" i="8"/>
  <c r="I40" i="8" s="1"/>
  <c r="H41" i="8"/>
  <c r="I41" i="8" s="1"/>
  <c r="H42" i="8"/>
  <c r="I42" i="8" s="1"/>
  <c r="H43" i="8"/>
  <c r="I43" i="8" s="1"/>
  <c r="H44" i="8"/>
  <c r="I44" i="8" s="1"/>
  <c r="H45" i="8"/>
  <c r="I45" i="8" s="1"/>
  <c r="H46" i="8"/>
  <c r="I46" i="8" s="1"/>
  <c r="H47" i="8"/>
  <c r="I47" i="8" s="1"/>
  <c r="H48" i="8"/>
  <c r="I48" i="8" s="1"/>
  <c r="H49" i="8"/>
  <c r="I49" i="8" s="1"/>
  <c r="H50" i="8"/>
  <c r="I50" i="8" s="1"/>
  <c r="H51" i="8"/>
  <c r="I51" i="8" s="1"/>
  <c r="H52" i="8"/>
  <c r="I52" i="8" s="1"/>
  <c r="H53" i="8"/>
  <c r="I53" i="8" s="1"/>
  <c r="H54" i="8"/>
  <c r="I54" i="8" s="1"/>
  <c r="H55" i="8"/>
  <c r="I55" i="8" s="1"/>
  <c r="H56" i="8"/>
  <c r="I56" i="8" s="1"/>
  <c r="H57" i="8"/>
  <c r="I57" i="8" s="1"/>
  <c r="H58" i="8"/>
  <c r="I58" i="8" s="1"/>
  <c r="H59" i="8"/>
  <c r="I59" i="8" s="1"/>
  <c r="H60" i="8"/>
  <c r="I60" i="8" s="1"/>
  <c r="H61" i="8"/>
  <c r="I61" i="8" s="1"/>
  <c r="H62" i="8"/>
  <c r="I62" i="8" s="1"/>
  <c r="H63" i="8"/>
  <c r="I63" i="8" s="1"/>
  <c r="H64" i="8"/>
  <c r="I64" i="8" s="1"/>
  <c r="H65" i="8"/>
  <c r="I65" i="8" s="1"/>
  <c r="H66" i="8"/>
  <c r="I66" i="8" s="1"/>
  <c r="H67" i="8"/>
  <c r="I67" i="8" s="1"/>
  <c r="H68" i="8"/>
  <c r="I68" i="8" s="1"/>
  <c r="H69" i="8"/>
  <c r="I69" i="8" s="1"/>
  <c r="H70" i="8"/>
  <c r="I70" i="8" s="1"/>
  <c r="H71" i="8"/>
  <c r="I71" i="8" s="1"/>
  <c r="H72" i="8"/>
  <c r="I72" i="8" s="1"/>
  <c r="H73" i="8"/>
  <c r="I73" i="8" s="1"/>
  <c r="H74" i="8"/>
  <c r="I74" i="8" s="1"/>
  <c r="H75" i="8"/>
  <c r="I75" i="8" s="1"/>
  <c r="H76" i="8"/>
  <c r="I76" i="8" s="1"/>
  <c r="H77" i="8"/>
  <c r="I77" i="8" s="1"/>
  <c r="H78" i="8"/>
  <c r="I78" i="8" s="1"/>
  <c r="H79" i="8"/>
  <c r="I79" i="8" s="1"/>
  <c r="H80" i="8"/>
  <c r="I80" i="8" s="1"/>
  <c r="H81" i="8"/>
  <c r="I81" i="8" s="1"/>
  <c r="H82" i="8"/>
  <c r="I82" i="8" s="1"/>
  <c r="H83" i="8"/>
  <c r="I83" i="8" s="1"/>
  <c r="H84" i="8"/>
  <c r="I84" i="8" s="1"/>
  <c r="H85" i="8"/>
  <c r="I85" i="8" s="1"/>
  <c r="H86" i="8"/>
  <c r="I86" i="8" s="1"/>
  <c r="H87" i="8"/>
  <c r="I87" i="8" s="1"/>
  <c r="H88" i="8"/>
  <c r="I88" i="8" s="1"/>
  <c r="P8" i="6" l="1"/>
  <c r="G8" i="6"/>
  <c r="H9" i="6" s="1"/>
  <c r="O29" i="6"/>
  <c r="O93" i="6" s="1"/>
  <c r="N93" i="6"/>
  <c r="L5" i="8"/>
  <c r="M6" i="8" s="1"/>
  <c r="L6" i="8" s="1"/>
  <c r="N5" i="8"/>
  <c r="O5" i="8" s="1"/>
  <c r="H89" i="8"/>
  <c r="I5" i="8"/>
  <c r="I89" i="8" s="1"/>
  <c r="P9" i="6"/>
  <c r="Q9" i="6"/>
  <c r="M7" i="8" l="1"/>
  <c r="N7" i="8" s="1"/>
  <c r="O7" i="8" s="1"/>
  <c r="P10" i="6"/>
  <c r="Q10" i="6"/>
  <c r="N6" i="8"/>
  <c r="O6" i="8" l="1"/>
  <c r="Q11" i="6"/>
  <c r="P11" i="6"/>
  <c r="L7" i="8"/>
  <c r="M8" i="8" l="1"/>
  <c r="L8" i="8" s="1"/>
  <c r="Q12" i="6"/>
  <c r="P12" i="6"/>
  <c r="M9" i="8" l="1"/>
  <c r="N9" i="8" s="1"/>
  <c r="O9" i="8" s="1"/>
  <c r="Q13" i="6"/>
  <c r="P13" i="6"/>
  <c r="N8" i="8"/>
  <c r="L9" i="8" l="1"/>
  <c r="M10" i="8" s="1"/>
  <c r="O8" i="8"/>
  <c r="Q14" i="6"/>
  <c r="P14" i="6"/>
  <c r="N10" i="8" l="1"/>
  <c r="L10" i="8"/>
  <c r="Q15" i="6"/>
  <c r="P15" i="6"/>
  <c r="P16" i="6" l="1"/>
  <c r="Q16" i="6"/>
  <c r="M11" i="8"/>
  <c r="N11" i="8" s="1"/>
  <c r="O11" i="8" s="1"/>
  <c r="O10" i="8"/>
  <c r="L11" i="8" l="1"/>
  <c r="M12" i="8" s="1"/>
  <c r="N12" i="8" s="1"/>
  <c r="Q17" i="6"/>
  <c r="P17" i="6"/>
  <c r="L12" i="8" l="1"/>
  <c r="M13" i="8" s="1"/>
  <c r="N13" i="8" s="1"/>
  <c r="O13" i="8" s="1"/>
  <c r="Q18" i="6"/>
  <c r="P18" i="6"/>
  <c r="O12" i="8"/>
  <c r="Q19" i="6" l="1"/>
  <c r="P19" i="6"/>
  <c r="L13" i="8"/>
  <c r="M14" i="8" l="1"/>
  <c r="N14" i="8" s="1"/>
  <c r="O14" i="8" s="1"/>
  <c r="Q20" i="6"/>
  <c r="P20" i="6"/>
  <c r="Q21" i="6" l="1"/>
  <c r="P21" i="6"/>
  <c r="L14" i="8"/>
  <c r="M15" i="8" l="1"/>
  <c r="N15" i="8" s="1"/>
  <c r="O15" i="8" s="1"/>
  <c r="Q22" i="6"/>
  <c r="P22" i="6"/>
  <c r="Q23" i="6" l="1"/>
  <c r="P23" i="6"/>
  <c r="L15" i="8"/>
  <c r="M16" i="8" l="1"/>
  <c r="N16" i="8" s="1"/>
  <c r="O16" i="8" s="1"/>
  <c r="Q24" i="6"/>
  <c r="P24" i="6"/>
  <c r="L16" i="8" l="1"/>
  <c r="M17" i="8" s="1"/>
  <c r="N17" i="8" s="1"/>
  <c r="O17" i="8" s="1"/>
  <c r="Q25" i="6"/>
  <c r="P25" i="6"/>
  <c r="Q26" i="6" l="1"/>
  <c r="P26" i="6"/>
  <c r="L17" i="8"/>
  <c r="M18" i="8" l="1"/>
  <c r="N18" i="8" s="1"/>
  <c r="O18" i="8" s="1"/>
  <c r="Q27" i="6"/>
  <c r="P27" i="6"/>
  <c r="L18" i="8" l="1"/>
  <c r="M19" i="8" s="1"/>
  <c r="N19" i="8" s="1"/>
  <c r="O19" i="8" s="1"/>
  <c r="P28" i="6"/>
  <c r="Q28" i="6"/>
  <c r="L19" i="8" l="1"/>
  <c r="M20" i="8" s="1"/>
  <c r="N20" i="8" s="1"/>
  <c r="O20" i="8" s="1"/>
  <c r="Q29" i="6"/>
  <c r="P29" i="6"/>
  <c r="L20" i="8" l="1"/>
  <c r="P30" i="6"/>
  <c r="Q30" i="6"/>
  <c r="M21" i="8" l="1"/>
  <c r="N21" i="8" s="1"/>
  <c r="O21" i="8" s="1"/>
  <c r="Q31" i="6"/>
  <c r="P31" i="6"/>
  <c r="L21" i="8" l="1"/>
  <c r="M22" i="8" s="1"/>
  <c r="N22" i="8" s="1"/>
  <c r="O22" i="8" s="1"/>
  <c r="Q32" i="6"/>
  <c r="P32" i="6"/>
  <c r="L22" i="8" l="1"/>
  <c r="M23" i="8" s="1"/>
  <c r="N23" i="8" s="1"/>
  <c r="O23" i="8" s="1"/>
  <c r="Q33" i="6"/>
  <c r="P33" i="6"/>
  <c r="Q34" i="6" l="1"/>
  <c r="P34" i="6"/>
  <c r="L23" i="8"/>
  <c r="M24" i="8" l="1"/>
  <c r="N24" i="8" s="1"/>
  <c r="O24" i="8" s="1"/>
  <c r="Q35" i="6"/>
  <c r="P35" i="6"/>
  <c r="Q36" i="6" l="1"/>
  <c r="P36" i="6"/>
  <c r="L24" i="8"/>
  <c r="M25" i="8" l="1"/>
  <c r="N25" i="8" s="1"/>
  <c r="O25" i="8" s="1"/>
  <c r="Q37" i="6"/>
  <c r="P37" i="6"/>
  <c r="Q38" i="6" l="1"/>
  <c r="P38" i="6"/>
  <c r="L25" i="8"/>
  <c r="M26" i="8" l="1"/>
  <c r="N26" i="8" s="1"/>
  <c r="O26" i="8" s="1"/>
  <c r="Q39" i="6"/>
  <c r="P39" i="6"/>
  <c r="Q40" i="6" l="1"/>
  <c r="P40" i="6"/>
  <c r="L26" i="8"/>
  <c r="M27" i="8" l="1"/>
  <c r="N27" i="8" s="1"/>
  <c r="O27" i="8" s="1"/>
  <c r="P41" i="6"/>
  <c r="Q41" i="6"/>
  <c r="Q42" i="6" l="1"/>
  <c r="P42" i="6"/>
  <c r="L27" i="8"/>
  <c r="M28" i="8" l="1"/>
  <c r="N28" i="8" s="1"/>
  <c r="O28" i="8" s="1"/>
  <c r="Q43" i="6"/>
  <c r="P43" i="6"/>
  <c r="P44" i="6" l="1"/>
  <c r="Q44" i="6"/>
  <c r="L28" i="8"/>
  <c r="M29" i="8" l="1"/>
  <c r="N29" i="8" s="1"/>
  <c r="O29" i="8" s="1"/>
  <c r="P45" i="6"/>
  <c r="Q45" i="6"/>
  <c r="L29" i="8" l="1"/>
  <c r="M30" i="8" s="1"/>
  <c r="N30" i="8" s="1"/>
  <c r="O30" i="8" s="1"/>
  <c r="P46" i="6"/>
  <c r="Q46" i="6"/>
  <c r="L30" i="8" l="1"/>
  <c r="M31" i="8" s="1"/>
  <c r="N31" i="8" s="1"/>
  <c r="O31" i="8" s="1"/>
  <c r="P47" i="6"/>
  <c r="Q47" i="6"/>
  <c r="P48" i="6" l="1"/>
  <c r="Q48" i="6"/>
  <c r="L31" i="8"/>
  <c r="M32" i="8" l="1"/>
  <c r="N32" i="8" s="1"/>
  <c r="O32" i="8" s="1"/>
  <c r="P49" i="6"/>
  <c r="Q49" i="6"/>
  <c r="Q50" i="6" l="1"/>
  <c r="P50" i="6"/>
  <c r="L32" i="8"/>
  <c r="M33" i="8" l="1"/>
  <c r="N33" i="8" s="1"/>
  <c r="O33" i="8" s="1"/>
  <c r="P51" i="6"/>
  <c r="Q51" i="6"/>
  <c r="L33" i="8" l="1"/>
  <c r="M34" i="8" s="1"/>
  <c r="N34" i="8" s="1"/>
  <c r="O34" i="8" s="1"/>
  <c r="Q52" i="6"/>
  <c r="P52" i="6"/>
  <c r="P53" i="6" l="1"/>
  <c r="Q53" i="6"/>
  <c r="L34" i="8"/>
  <c r="M35" i="8" l="1"/>
  <c r="N35" i="8" s="1"/>
  <c r="O35" i="8" s="1"/>
  <c r="Q54" i="6"/>
  <c r="P54" i="6"/>
  <c r="L35" i="8" l="1"/>
  <c r="M36" i="8" s="1"/>
  <c r="N36" i="8" s="1"/>
  <c r="O36" i="8" s="1"/>
  <c r="P55" i="6"/>
  <c r="Q55" i="6"/>
  <c r="L36" i="8" l="1"/>
  <c r="P56" i="6"/>
  <c r="Q56" i="6"/>
  <c r="Q57" i="6" l="1"/>
  <c r="P57" i="6"/>
  <c r="M37" i="8"/>
  <c r="N37" i="8" s="1"/>
  <c r="O37" i="8" s="1"/>
  <c r="L37" i="8" l="1"/>
  <c r="M38" i="8" s="1"/>
  <c r="N38" i="8" s="1"/>
  <c r="O38" i="8" s="1"/>
  <c r="Q58" i="6"/>
  <c r="P58" i="6"/>
  <c r="Q59" i="6" l="1"/>
  <c r="P59" i="6"/>
  <c r="L38" i="8"/>
  <c r="Q60" i="6" l="1"/>
  <c r="P60" i="6"/>
  <c r="M39" i="8"/>
  <c r="N39" i="8" s="1"/>
  <c r="O39" i="8" s="1"/>
  <c r="L39" i="8" l="1"/>
  <c r="M40" i="8" s="1"/>
  <c r="N40" i="8" s="1"/>
  <c r="O40" i="8" s="1"/>
  <c r="P61" i="6"/>
  <c r="Q61" i="6"/>
  <c r="L40" i="8" l="1"/>
  <c r="M41" i="8" s="1"/>
  <c r="N41" i="8" s="1"/>
  <c r="O41" i="8" s="1"/>
  <c r="Q62" i="6"/>
  <c r="P62" i="6"/>
  <c r="L41" i="8" l="1"/>
  <c r="M42" i="8" s="1"/>
  <c r="N42" i="8" s="1"/>
  <c r="O42" i="8" s="1"/>
  <c r="P63" i="6"/>
  <c r="Q63" i="6"/>
  <c r="L42" i="8" l="1"/>
  <c r="M43" i="8" s="1"/>
  <c r="N43" i="8" s="1"/>
  <c r="O43" i="8" s="1"/>
  <c r="Q64" i="6"/>
  <c r="P64" i="6"/>
  <c r="L43" i="8" l="1"/>
  <c r="M44" i="8" s="1"/>
  <c r="N44" i="8" s="1"/>
  <c r="O44" i="8" s="1"/>
  <c r="P65" i="6"/>
  <c r="Q65" i="6"/>
  <c r="Q66" i="6" l="1"/>
  <c r="P66" i="6"/>
  <c r="L44" i="8"/>
  <c r="P67" i="6" l="1"/>
  <c r="Q67" i="6"/>
  <c r="M45" i="8"/>
  <c r="N45" i="8" s="1"/>
  <c r="O45" i="8" s="1"/>
  <c r="L45" i="8" l="1"/>
  <c r="Q68" i="6"/>
  <c r="P68" i="6"/>
  <c r="P69" i="6" l="1"/>
  <c r="Q69" i="6"/>
  <c r="M46" i="8"/>
  <c r="N46" i="8" s="1"/>
  <c r="O46" i="8" s="1"/>
  <c r="L46" i="8" l="1"/>
  <c r="M47" i="8" s="1"/>
  <c r="N47" i="8" s="1"/>
  <c r="O47" i="8" s="1"/>
  <c r="Q70" i="6"/>
  <c r="P70" i="6"/>
  <c r="L47" i="8" l="1"/>
  <c r="M48" i="8" s="1"/>
  <c r="N48" i="8" s="1"/>
  <c r="O48" i="8" s="1"/>
  <c r="P71" i="6"/>
  <c r="Q71" i="6"/>
  <c r="L48" i="8" l="1"/>
  <c r="P72" i="6"/>
  <c r="Q72" i="6"/>
  <c r="Q73" i="6" l="1"/>
  <c r="P73" i="6"/>
  <c r="M49" i="8"/>
  <c r="N49" i="8" s="1"/>
  <c r="O49" i="8" s="1"/>
  <c r="L49" i="8" l="1"/>
  <c r="Q74" i="6"/>
  <c r="P74" i="6"/>
  <c r="Q75" i="6" l="1"/>
  <c r="P75" i="6"/>
  <c r="M50" i="8"/>
  <c r="N50" i="8" s="1"/>
  <c r="O50" i="8" s="1"/>
  <c r="Q76" i="6" l="1"/>
  <c r="P76" i="6"/>
  <c r="L50" i="8"/>
  <c r="M51" i="8" l="1"/>
  <c r="N51" i="8" s="1"/>
  <c r="O51" i="8" s="1"/>
  <c r="Q77" i="6"/>
  <c r="P77" i="6"/>
  <c r="L51" i="8" l="1"/>
  <c r="M52" i="8" s="1"/>
  <c r="N52" i="8" s="1"/>
  <c r="O52" i="8" s="1"/>
  <c r="Q78" i="6"/>
  <c r="P78" i="6"/>
  <c r="Q79" i="6" l="1"/>
  <c r="P79" i="6"/>
  <c r="L52" i="8"/>
  <c r="Q80" i="6" l="1"/>
  <c r="P80" i="6"/>
  <c r="M53" i="8"/>
  <c r="N53" i="8" s="1"/>
  <c r="O53" i="8" s="1"/>
  <c r="L53" i="8" l="1"/>
  <c r="M54" i="8" s="1"/>
  <c r="N54" i="8" s="1"/>
  <c r="O54" i="8" s="1"/>
  <c r="P81" i="6"/>
  <c r="Q81" i="6"/>
  <c r="L54" i="8" l="1"/>
  <c r="M55" i="8" s="1"/>
  <c r="N55" i="8" s="1"/>
  <c r="O55" i="8" s="1"/>
  <c r="Q82" i="6"/>
  <c r="P82" i="6"/>
  <c r="L55" i="8" l="1"/>
  <c r="M56" i="8" s="1"/>
  <c r="N56" i="8" s="1"/>
  <c r="O56" i="8" s="1"/>
  <c r="P83" i="6"/>
  <c r="Q83" i="6"/>
  <c r="L56" i="8" l="1"/>
  <c r="Q84" i="6"/>
  <c r="P84" i="6"/>
  <c r="P85" i="6" l="1"/>
  <c r="Q85" i="6"/>
  <c r="M57" i="8"/>
  <c r="N57" i="8" s="1"/>
  <c r="O57" i="8" s="1"/>
  <c r="L57" i="8" l="1"/>
  <c r="M58" i="8" s="1"/>
  <c r="N58" i="8" s="1"/>
  <c r="O58" i="8" s="1"/>
  <c r="P86" i="6"/>
  <c r="Q86" i="6"/>
  <c r="Q87" i="6" l="1"/>
  <c r="P87" i="6"/>
  <c r="L58" i="8"/>
  <c r="M59" i="8" l="1"/>
  <c r="N59" i="8" s="1"/>
  <c r="O59" i="8" s="1"/>
  <c r="Q88" i="6"/>
  <c r="P88" i="6"/>
  <c r="L59" i="8" l="1"/>
  <c r="M60" i="8" s="1"/>
  <c r="N60" i="8" s="1"/>
  <c r="O60" i="8" s="1"/>
  <c r="Q89" i="6"/>
  <c r="P89" i="6"/>
  <c r="Q90" i="6" l="1"/>
  <c r="P90" i="6"/>
  <c r="L60" i="8"/>
  <c r="M61" i="8" l="1"/>
  <c r="N61" i="8" s="1"/>
  <c r="O61" i="8" s="1"/>
  <c r="Q91" i="6"/>
  <c r="P91" i="6"/>
  <c r="L61" i="8" l="1"/>
  <c r="M62" i="8" s="1"/>
  <c r="N62" i="8" s="1"/>
  <c r="O62" i="8" s="1"/>
  <c r="Q92" i="6"/>
  <c r="Q93" i="6" s="1"/>
  <c r="S93" i="6" s="1"/>
  <c r="P92" i="6"/>
  <c r="L62" i="8" l="1"/>
  <c r="M63" i="8" s="1"/>
  <c r="N63" i="8" s="1"/>
  <c r="O63" i="8" s="1"/>
  <c r="L63" i="8" l="1"/>
  <c r="M64" i="8" l="1"/>
  <c r="N64" i="8" s="1"/>
  <c r="O64" i="8" s="1"/>
  <c r="L64" i="8" l="1"/>
  <c r="M65" i="8" s="1"/>
  <c r="N65" i="8" s="1"/>
  <c r="O65" i="8" s="1"/>
  <c r="L65" i="8" l="1"/>
  <c r="M66" i="8" l="1"/>
  <c r="N66" i="8" s="1"/>
  <c r="O66" i="8" s="1"/>
  <c r="L66" i="8" l="1"/>
  <c r="M67" i="8" s="1"/>
  <c r="N67" i="8" s="1"/>
  <c r="O67" i="8" s="1"/>
  <c r="L67" i="8" l="1"/>
  <c r="M68" i="8" l="1"/>
  <c r="N68" i="8" s="1"/>
  <c r="O68" i="8" s="1"/>
  <c r="L68" i="8" l="1"/>
  <c r="M69" i="8" s="1"/>
  <c r="N69" i="8" s="1"/>
  <c r="O69" i="8" s="1"/>
  <c r="L69" i="8" l="1"/>
  <c r="M70" i="8" l="1"/>
  <c r="N70" i="8" s="1"/>
  <c r="O70" i="8" s="1"/>
  <c r="L70" i="8" l="1"/>
  <c r="M71" i="8" s="1"/>
  <c r="N71" i="8" s="1"/>
  <c r="O71" i="8" s="1"/>
  <c r="L71" i="8" l="1"/>
  <c r="M72" i="8" l="1"/>
  <c r="N72" i="8" s="1"/>
  <c r="O72" i="8" s="1"/>
  <c r="L72" i="8" l="1"/>
  <c r="M73" i="8" s="1"/>
  <c r="N73" i="8" s="1"/>
  <c r="O73" i="8" s="1"/>
  <c r="L73" i="8" l="1"/>
  <c r="M74" i="8" l="1"/>
  <c r="N74" i="8" s="1"/>
  <c r="O74" i="8" s="1"/>
  <c r="L74" i="8" l="1"/>
  <c r="M75" i="8" s="1"/>
  <c r="N75" i="8" s="1"/>
  <c r="O75" i="8" s="1"/>
  <c r="L75" i="8" l="1"/>
  <c r="M76" i="8" l="1"/>
  <c r="N76" i="8" l="1"/>
  <c r="O76" i="8" s="1"/>
  <c r="L76" i="8"/>
  <c r="M77" i="8" s="1"/>
  <c r="N77" i="8" s="1"/>
  <c r="O77" i="8" s="1"/>
  <c r="L77" i="8" l="1"/>
  <c r="M78" i="8" l="1"/>
  <c r="N78" i="8" l="1"/>
  <c r="O78" i="8" s="1"/>
  <c r="L78" i="8"/>
  <c r="M79" i="8" s="1"/>
  <c r="N79" i="8" s="1"/>
  <c r="O79" i="8" s="1"/>
  <c r="L79" i="8" l="1"/>
  <c r="M80" i="8" l="1"/>
  <c r="N80" i="8" l="1"/>
  <c r="O80" i="8" s="1"/>
  <c r="L80" i="8"/>
  <c r="M81" i="8" s="1"/>
  <c r="N81" i="8" s="1"/>
  <c r="O81" i="8" s="1"/>
  <c r="L81" i="8" l="1"/>
  <c r="M82" i="8" l="1"/>
  <c r="N82" i="8" l="1"/>
  <c r="O82" i="8" s="1"/>
  <c r="L82" i="8"/>
  <c r="M83" i="8" s="1"/>
  <c r="N83" i="8" s="1"/>
  <c r="O83" i="8" s="1"/>
  <c r="L83" i="8" l="1"/>
  <c r="M84" i="8" l="1"/>
  <c r="N84" i="8" s="1"/>
  <c r="O84" i="8" s="1"/>
  <c r="L84" i="8" l="1"/>
  <c r="M85" i="8" s="1"/>
  <c r="N85" i="8" s="1"/>
  <c r="O85" i="8" s="1"/>
  <c r="L85" i="8" l="1"/>
  <c r="M86" i="8" l="1"/>
  <c r="N86" i="8" s="1"/>
  <c r="O86" i="8" s="1"/>
  <c r="L86" i="8" l="1"/>
  <c r="M87" i="8" s="1"/>
  <c r="N87" i="8" s="1"/>
  <c r="O87" i="8" s="1"/>
  <c r="L87" i="8" l="1"/>
  <c r="M88" i="8" s="1"/>
  <c r="N88" i="8" l="1"/>
  <c r="M89" i="8"/>
  <c r="L88" i="8"/>
  <c r="L89" i="8" s="1"/>
  <c r="O88" i="8" l="1"/>
  <c r="O89" i="8" s="1"/>
  <c r="N89" i="8"/>
  <c r="B34" i="8" l="1"/>
  <c r="C55" i="8"/>
  <c r="C57" i="8" l="1"/>
  <c r="C61" i="8"/>
  <c r="R4" i="8" s="1"/>
  <c r="D11" i="11"/>
  <c r="C75" i="8"/>
  <c r="B3" i="6" s="1"/>
  <c r="D12" i="11" l="1"/>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C71" i="8"/>
  <c r="C73" i="8" s="1"/>
  <c r="C26" i="8" s="1"/>
  <c r="C27" i="8" s="1"/>
  <c r="C28" i="8" s="1"/>
  <c r="C29" i="8" s="1"/>
  <c r="F11" i="11"/>
  <c r="B18" i="11" l="1"/>
  <c r="S5" i="8"/>
  <c r="D29" i="10"/>
  <c r="F93" i="6"/>
  <c r="G9" i="6"/>
  <c r="R5" i="8" l="1"/>
  <c r="H10" i="6"/>
  <c r="G10" i="6"/>
  <c r="S6" i="8" l="1"/>
  <c r="R6" i="8" s="1"/>
  <c r="G11" i="6"/>
  <c r="H11" i="6"/>
  <c r="S7" i="8" l="1"/>
  <c r="R7" i="8" s="1"/>
  <c r="G12" i="6"/>
  <c r="H12" i="6"/>
  <c r="S8" i="8" l="1"/>
  <c r="R8" i="8" s="1"/>
  <c r="G13" i="6"/>
  <c r="H13" i="6"/>
  <c r="S9" i="8" l="1"/>
  <c r="R9" i="8" s="1"/>
  <c r="H14" i="6"/>
  <c r="G14" i="6"/>
  <c r="S10" i="8" l="1"/>
  <c r="R10" i="8" s="1"/>
  <c r="G15" i="6"/>
  <c r="H15" i="6"/>
  <c r="S11" i="8" l="1"/>
  <c r="R11" i="8" s="1"/>
  <c r="G16" i="6"/>
  <c r="H16" i="6"/>
  <c r="S12" i="8" l="1"/>
  <c r="R12" i="8" s="1"/>
  <c r="G17" i="6"/>
  <c r="H17" i="6"/>
  <c r="S13" i="8" l="1"/>
  <c r="R13" i="8" s="1"/>
  <c r="H18" i="6"/>
  <c r="G18" i="6"/>
  <c r="S14" i="8" l="1"/>
  <c r="R14" i="8" s="1"/>
  <c r="G19" i="6"/>
  <c r="H19" i="6"/>
  <c r="S15" i="8" l="1"/>
  <c r="R15" i="8" s="1"/>
  <c r="G20" i="6"/>
  <c r="H20" i="6"/>
  <c r="S16" i="8" l="1"/>
  <c r="R16" i="8" s="1"/>
  <c r="G21" i="6"/>
  <c r="H21" i="6"/>
  <c r="S17" i="8" l="1"/>
  <c r="R17" i="8" s="1"/>
  <c r="H22" i="6"/>
  <c r="G22" i="6"/>
  <c r="S18" i="8" l="1"/>
  <c r="R18" i="8" s="1"/>
  <c r="G23" i="6"/>
  <c r="H23" i="6"/>
  <c r="S19" i="8" l="1"/>
  <c r="R19" i="8" s="1"/>
  <c r="G24" i="6"/>
  <c r="H24" i="6"/>
  <c r="S20" i="8" l="1"/>
  <c r="R20" i="8" s="1"/>
  <c r="G25" i="6"/>
  <c r="H25" i="6"/>
  <c r="S21" i="8" l="1"/>
  <c r="R21" i="8" s="1"/>
  <c r="H26" i="6"/>
  <c r="G26" i="6"/>
  <c r="S22" i="8" l="1"/>
  <c r="R22" i="8" s="1"/>
  <c r="G27" i="6"/>
  <c r="H27" i="6"/>
  <c r="S23" i="8" l="1"/>
  <c r="R23" i="8" s="1"/>
  <c r="G28" i="6"/>
  <c r="H28" i="6"/>
  <c r="S24" i="8" l="1"/>
  <c r="R24" i="8" s="1"/>
  <c r="G29" i="6"/>
  <c r="H29" i="6"/>
  <c r="S25" i="8" l="1"/>
  <c r="R25" i="8" s="1"/>
  <c r="H30" i="6"/>
  <c r="G30" i="6"/>
  <c r="S26" i="8" l="1"/>
  <c r="R26" i="8" s="1"/>
  <c r="G31" i="6"/>
  <c r="H31" i="6"/>
  <c r="S27" i="8" l="1"/>
  <c r="R27" i="8" s="1"/>
  <c r="G32" i="6"/>
  <c r="H32" i="6"/>
  <c r="S28" i="8" l="1"/>
  <c r="R28" i="8" s="1"/>
  <c r="G33" i="6"/>
  <c r="H33" i="6"/>
  <c r="S29" i="8" l="1"/>
  <c r="R29" i="8" s="1"/>
  <c r="H34" i="6"/>
  <c r="G34" i="6"/>
  <c r="S30" i="8" l="1"/>
  <c r="R30" i="8" s="1"/>
  <c r="G35" i="6"/>
  <c r="H35" i="6"/>
  <c r="S31" i="8" l="1"/>
  <c r="R31" i="8" s="1"/>
  <c r="G36" i="6"/>
  <c r="H36" i="6"/>
  <c r="S32" i="8" l="1"/>
  <c r="R32" i="8" s="1"/>
  <c r="G37" i="6"/>
  <c r="H37" i="6"/>
  <c r="S33" i="8" l="1"/>
  <c r="R33" i="8" s="1"/>
  <c r="H38" i="6"/>
  <c r="G38" i="6"/>
  <c r="S34" i="8" l="1"/>
  <c r="R34" i="8" s="1"/>
  <c r="G39" i="6"/>
  <c r="H39" i="6"/>
  <c r="S35" i="8" l="1"/>
  <c r="R35" i="8" s="1"/>
  <c r="G40" i="6"/>
  <c r="H40" i="6"/>
  <c r="S36" i="8" l="1"/>
  <c r="R36" i="8" s="1"/>
  <c r="G41" i="6"/>
  <c r="H41" i="6"/>
  <c r="S37" i="8" l="1"/>
  <c r="R37" i="8" s="1"/>
  <c r="H42" i="6"/>
  <c r="G42" i="6"/>
  <c r="S38" i="8" l="1"/>
  <c r="R38" i="8" s="1"/>
  <c r="G43" i="6"/>
  <c r="H43" i="6"/>
  <c r="S39" i="8" l="1"/>
  <c r="R39" i="8" s="1"/>
  <c r="G44" i="6"/>
  <c r="H44" i="6"/>
  <c r="S40" i="8" l="1"/>
  <c r="R40" i="8" s="1"/>
  <c r="G45" i="6"/>
  <c r="H45" i="6"/>
  <c r="S41" i="8" l="1"/>
  <c r="R41" i="8" s="1"/>
  <c r="H46" i="6"/>
  <c r="G46" i="6"/>
  <c r="S42" i="8" l="1"/>
  <c r="R42" i="8" s="1"/>
  <c r="G47" i="6"/>
  <c r="H47" i="6"/>
  <c r="S43" i="8" l="1"/>
  <c r="R43" i="8" s="1"/>
  <c r="G48" i="6"/>
  <c r="H48" i="6"/>
  <c r="S44" i="8" l="1"/>
  <c r="R44" i="8" s="1"/>
  <c r="G49" i="6"/>
  <c r="H49" i="6"/>
  <c r="S45" i="8" l="1"/>
  <c r="R45" i="8" s="1"/>
  <c r="S46" i="8" s="1"/>
  <c r="R46" i="8" s="1"/>
  <c r="H50" i="6"/>
  <c r="G50" i="6"/>
  <c r="S47" i="8" l="1"/>
  <c r="R47" i="8" s="1"/>
  <c r="G51" i="6"/>
  <c r="H51" i="6"/>
  <c r="S48" i="8" l="1"/>
  <c r="R48" i="8" s="1"/>
  <c r="G52" i="6"/>
  <c r="H52" i="6"/>
  <c r="S49" i="8" l="1"/>
  <c r="R49" i="8" s="1"/>
  <c r="G53" i="6"/>
  <c r="H53" i="6"/>
  <c r="S50" i="8" l="1"/>
  <c r="R50" i="8" s="1"/>
  <c r="H54" i="6"/>
  <c r="G54" i="6"/>
  <c r="S51" i="8" l="1"/>
  <c r="R51" i="8" s="1"/>
  <c r="G55" i="6"/>
  <c r="H55" i="6"/>
  <c r="S52" i="8" l="1"/>
  <c r="R52" i="8" s="1"/>
  <c r="G56" i="6"/>
  <c r="H56" i="6"/>
  <c r="S53" i="8" l="1"/>
  <c r="R53" i="8" s="1"/>
  <c r="G57" i="6"/>
  <c r="H57" i="6"/>
  <c r="S54" i="8" l="1"/>
  <c r="R54" i="8" s="1"/>
  <c r="H58" i="6"/>
  <c r="G58" i="6"/>
  <c r="S55" i="8" l="1"/>
  <c r="R55" i="8" s="1"/>
  <c r="G59" i="6"/>
  <c r="H59" i="6"/>
  <c r="S56" i="8" l="1"/>
  <c r="R56" i="8" s="1"/>
  <c r="G60" i="6"/>
  <c r="H60" i="6"/>
  <c r="S57" i="8" l="1"/>
  <c r="R57" i="8" s="1"/>
  <c r="G61" i="6"/>
  <c r="H61" i="6"/>
  <c r="S58" i="8" l="1"/>
  <c r="R58" i="8" s="1"/>
  <c r="H62" i="6"/>
  <c r="G62" i="6"/>
  <c r="S59" i="8" l="1"/>
  <c r="R59" i="8" s="1"/>
  <c r="G63" i="6"/>
  <c r="H63" i="6"/>
  <c r="S60" i="8" l="1"/>
  <c r="R60" i="8" s="1"/>
  <c r="G64" i="6"/>
  <c r="H64" i="6"/>
  <c r="S61" i="8" l="1"/>
  <c r="R61" i="8" s="1"/>
  <c r="G65" i="6"/>
  <c r="H65" i="6"/>
  <c r="S62" i="8" l="1"/>
  <c r="R62" i="8" s="1"/>
  <c r="H66" i="6"/>
  <c r="G66" i="6"/>
  <c r="S63" i="8" l="1"/>
  <c r="R63" i="8" s="1"/>
  <c r="G67" i="6"/>
  <c r="H67" i="6"/>
  <c r="S64" i="8" l="1"/>
  <c r="R64" i="8" s="1"/>
  <c r="G68" i="6"/>
  <c r="H68" i="6"/>
  <c r="S65" i="8" l="1"/>
  <c r="R65" i="8" s="1"/>
  <c r="G69" i="6"/>
  <c r="H69" i="6"/>
  <c r="S66" i="8" l="1"/>
  <c r="R66" i="8" s="1"/>
  <c r="H70" i="6"/>
  <c r="G70" i="6"/>
  <c r="S67" i="8" l="1"/>
  <c r="R67" i="8" s="1"/>
  <c r="G71" i="6"/>
  <c r="H71" i="6"/>
  <c r="S68" i="8" l="1"/>
  <c r="R68" i="8" s="1"/>
  <c r="G72" i="6"/>
  <c r="H72" i="6"/>
  <c r="S69" i="8" l="1"/>
  <c r="R69" i="8" s="1"/>
  <c r="G73" i="6"/>
  <c r="H73" i="6"/>
  <c r="S70" i="8" l="1"/>
  <c r="R70" i="8" s="1"/>
  <c r="H74" i="6"/>
  <c r="G74" i="6"/>
  <c r="S71" i="8" l="1"/>
  <c r="R71" i="8" s="1"/>
  <c r="G75" i="6"/>
  <c r="H75" i="6"/>
  <c r="S72" i="8" l="1"/>
  <c r="R72" i="8" s="1"/>
  <c r="G76" i="6"/>
  <c r="H76" i="6"/>
  <c r="S73" i="8" l="1"/>
  <c r="R73" i="8" s="1"/>
  <c r="G77" i="6"/>
  <c r="H77" i="6"/>
  <c r="S74" i="8" l="1"/>
  <c r="R74" i="8" s="1"/>
  <c r="H78" i="6"/>
  <c r="G78" i="6"/>
  <c r="S75" i="8" l="1"/>
  <c r="R75" i="8" s="1"/>
  <c r="G79" i="6"/>
  <c r="H79" i="6"/>
  <c r="S76" i="8" l="1"/>
  <c r="R76" i="8" s="1"/>
  <c r="G80" i="6"/>
  <c r="H80" i="6"/>
  <c r="S77" i="8" l="1"/>
  <c r="R77" i="8" s="1"/>
  <c r="G81" i="6"/>
  <c r="H81" i="6"/>
  <c r="S78" i="8" l="1"/>
  <c r="R78" i="8" s="1"/>
  <c r="H82" i="6"/>
  <c r="G82" i="6"/>
  <c r="S79" i="8" l="1"/>
  <c r="R79" i="8" s="1"/>
  <c r="G83" i="6"/>
  <c r="H83" i="6"/>
  <c r="S80" i="8" l="1"/>
  <c r="R80" i="8" s="1"/>
  <c r="G84" i="6"/>
  <c r="H84" i="6"/>
  <c r="S81" i="8" l="1"/>
  <c r="R81" i="8" s="1"/>
  <c r="G85" i="6"/>
  <c r="H85" i="6"/>
  <c r="S82" i="8" l="1"/>
  <c r="R82" i="8" s="1"/>
  <c r="H86" i="6"/>
  <c r="G86" i="6"/>
  <c r="S83" i="8" l="1"/>
  <c r="R83" i="8" s="1"/>
  <c r="G87" i="6"/>
  <c r="H87" i="6"/>
  <c r="S84" i="8" l="1"/>
  <c r="R84" i="8" s="1"/>
  <c r="G88" i="6"/>
  <c r="H88" i="6"/>
  <c r="S85" i="8" l="1"/>
  <c r="R85" i="8" s="1"/>
  <c r="G89" i="6"/>
  <c r="H89" i="6"/>
  <c r="S86" i="8" l="1"/>
  <c r="R86" i="8" s="1"/>
  <c r="H90" i="6"/>
  <c r="G90" i="6"/>
  <c r="S87" i="8" l="1"/>
  <c r="R87" i="8" s="1"/>
  <c r="S88" i="8" s="1"/>
  <c r="G91" i="6"/>
  <c r="H91" i="6"/>
  <c r="R88" i="8" l="1"/>
  <c r="R89" i="8" s="1"/>
  <c r="C59" i="8" s="1"/>
  <c r="S89" i="8"/>
  <c r="H92" i="6"/>
  <c r="H93" i="6" s="1"/>
  <c r="G92" i="6"/>
  <c r="F13" i="11" l="1"/>
  <c r="C18" i="11" s="1"/>
  <c r="D30" i="10"/>
  <c r="E18" i="11" l="1"/>
  <c r="F1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Lance Solms</author>
  </authors>
  <commentList>
    <comment ref="D29" authorId="0" shapeId="0" xr:uid="{5DF90398-DE7A-40FA-858B-4E7CA7F26E96}">
      <text>
        <r>
          <rPr>
            <b/>
            <sz val="9"/>
            <color indexed="81"/>
            <rFont val="Tahoma"/>
            <family val="2"/>
          </rPr>
          <t>Lance Solms:</t>
        </r>
        <r>
          <rPr>
            <sz val="9"/>
            <color indexed="81"/>
            <rFont val="Tahoma"/>
            <family val="2"/>
          </rPr>
          <t xml:space="preserve">
Add in th e30 bip rule</t>
        </r>
      </text>
    </comment>
  </commentList>
</comments>
</file>

<file path=xl/sharedStrings.xml><?xml version="1.0" encoding="utf-8"?>
<sst xmlns="http://schemas.openxmlformats.org/spreadsheetml/2006/main" count="180" uniqueCount="132">
  <si>
    <t xml:space="preserve">Investment </t>
  </si>
  <si>
    <t>Simple Coupon</t>
  </si>
  <si>
    <t>n</t>
  </si>
  <si>
    <t>Risk Free Rate</t>
  </si>
  <si>
    <t xml:space="preserve">Total Investment </t>
  </si>
  <si>
    <t>Start Month</t>
  </si>
  <si>
    <t>PV Tax Liabilities</t>
  </si>
  <si>
    <t>Factor of Total Investment</t>
  </si>
  <si>
    <t>Redemptions</t>
  </si>
  <si>
    <t>Advice Fee</t>
  </si>
  <si>
    <t>Effective Annual Rate</t>
  </si>
  <si>
    <t>per 10M</t>
  </si>
  <si>
    <t>50% Allocation</t>
  </si>
  <si>
    <t>Daily Rate</t>
  </si>
  <si>
    <t>Date</t>
  </si>
  <si>
    <t>Start Date</t>
  </si>
  <si>
    <t>Months</t>
  </si>
  <si>
    <t>Capital</t>
  </si>
  <si>
    <t>Interest</t>
  </si>
  <si>
    <t>Tax</t>
  </si>
  <si>
    <t>PV</t>
  </si>
  <si>
    <t>Insurer Fee ( Absa Life )</t>
  </si>
  <si>
    <t>Insurer Tax Liability</t>
  </si>
  <si>
    <t>Total CIB Pricing</t>
  </si>
  <si>
    <t>Allocation Percentage</t>
  </si>
  <si>
    <t>Some rounding difference will be expected upfront, at policy level and summed up to ISIN</t>
  </si>
  <si>
    <t>Factor to Round</t>
  </si>
  <si>
    <t>Actual Tax Liability</t>
  </si>
  <si>
    <t>Fixed Interest Allocation</t>
  </si>
  <si>
    <t>Units * 1000</t>
  </si>
  <si>
    <t>Indicator</t>
  </si>
  <si>
    <t>Actual Insurer Tax Liaiblity</t>
  </si>
  <si>
    <t>Interest rfr</t>
  </si>
  <si>
    <t>Intransact Administration</t>
  </si>
  <si>
    <t>Initial Investment</t>
  </si>
  <si>
    <t>Future Value</t>
  </si>
  <si>
    <t>Present Value</t>
  </si>
  <si>
    <t>Gross Interests Earned</t>
  </si>
  <si>
    <t>Less:</t>
  </si>
  <si>
    <t>Life Company fee</t>
  </si>
  <si>
    <t>Administration fee</t>
  </si>
  <si>
    <t>Taxable income</t>
  </si>
  <si>
    <t>Advisor fee</t>
  </si>
  <si>
    <t>Amount invested</t>
  </si>
  <si>
    <t>Indicative Product Quotation</t>
  </si>
  <si>
    <t>Date Prepared</t>
  </si>
  <si>
    <t>Policy Details</t>
  </si>
  <si>
    <t xml:space="preserve">Investment Details </t>
  </si>
  <si>
    <t>Single Premium Investment Amount</t>
  </si>
  <si>
    <t>Charges and Costs</t>
  </si>
  <si>
    <t>Charges (if applicable)</t>
  </si>
  <si>
    <t>1 Year</t>
  </si>
  <si>
    <t>3 Year</t>
  </si>
  <si>
    <t>5 Year</t>
  </si>
  <si>
    <t>Investment Management</t>
  </si>
  <si>
    <t>Administration</t>
  </si>
  <si>
    <t>Effective Cost</t>
  </si>
  <si>
    <t>Investor Declaration</t>
  </si>
  <si>
    <t>The Investor hereby confirms that they have read and understood the information contained in the Product Media and Terms &amp; Conditions.</t>
  </si>
  <si>
    <t>DISCLAIMER</t>
  </si>
  <si>
    <t>Simple interest rate</t>
  </si>
  <si>
    <t>Tax at 30%</t>
  </si>
  <si>
    <t>Simple Coupon Annual</t>
  </si>
  <si>
    <t>Simple Coupon Term</t>
  </si>
  <si>
    <t>Total Maturity Value</t>
  </si>
  <si>
    <t>After Tax Rates</t>
  </si>
  <si>
    <t>Investment Term Years</t>
  </si>
  <si>
    <t>Effective tax rate</t>
  </si>
  <si>
    <t>Total Pricing</t>
  </si>
  <si>
    <t xml:space="preserve">Net return </t>
  </si>
  <si>
    <t>Administration Fee</t>
  </si>
  <si>
    <t>Life Company Fee</t>
  </si>
  <si>
    <t>Gross Interest</t>
  </si>
  <si>
    <t>Interest Post Expenses</t>
  </si>
  <si>
    <t>After Tax</t>
  </si>
  <si>
    <t>Interest after Expenses</t>
  </si>
  <si>
    <t>Period of investment</t>
  </si>
  <si>
    <t>Gross Interest after Expenses</t>
  </si>
  <si>
    <t>Absa Life Fixed Interest Growth Plan</t>
  </si>
  <si>
    <t>Estimated Investment Week</t>
  </si>
  <si>
    <t>Estimated Maturity Week</t>
  </si>
  <si>
    <t xml:space="preserve">Financial Service Provider Name (Brokerage) </t>
  </si>
  <si>
    <t>Financial Advisor First Name &amp; Surname</t>
  </si>
  <si>
    <t>Policyholder ID</t>
  </si>
  <si>
    <t>Investment products offered by the Administrator are subject to market and other risks. It is the Investor’s responsibility to ensure they understand these risks before making an investment via the Administrator. Investment returns may fluctuate and are subject to market volatility. When assets are bought or sold, their value may be higher or lower than their original cost. Past performance is not indicative of future results. The information contained in this quotation which may include opinions, estimates, indicative rates, terms, price quotations, and projections reflects the current judgment, information, and market conditions as provided by third parties, contributing authors, and prevailing market data. Such judgments and conditions are subject to change at any time without notice or obligation. Information provided by the Administrator may not necessarily reflect the views of its officers, employees, or appointed agents. While care has been taken to compile this information from various public and third-party sources, the Administrator does not accept liability for any inaccuracies. The Administrator strongly recommends that independent tax, legal, accounting, and financial advice be obtained before relying on any of the information provided.This quotation may include forward-looking statements, including projections and forecasts. There is no guarantee that any such forecasts will materialise. Reliance on information provided by the Administrator is at the sole discretion of the user and does not constitute a recommendation, offer, or solicitation to buy or sell any product offered by the Administrator or to adopt any investment strategy. Unauthorised use, reproduction, or distribution of any information provided by the Administrator is strictly prohibited without express written consent. The Administrator does not provide investment advice. All rights reserved.The Administrator is an authorised financial services provider. FSP 650.</t>
  </si>
  <si>
    <t>Underwritten by Absa Life – the "Insurer"</t>
  </si>
  <si>
    <t>Distributed and administered by the Itransact Investment Platform – the "Administrator"</t>
  </si>
  <si>
    <t xml:space="preserve">Annual Investment Rate (Effective) </t>
  </si>
  <si>
    <t>The Effective Annual Cost (EAC) is a standardised measure designed to help you compare the charges associated with different Financial Products and understand their impact on investment returns. It is expressed as an annualised percentage. The EAC consists of four components, which are added together, as illustrated in the table below. Please note that the impact of certain charges may vary depending on the investment period. The EAC calculation assumes that the investor terminates the investment in the Financial Product at the end of the specific periods shown in the table.</t>
  </si>
  <si>
    <t>Effective Annual Cost (EAC)</t>
  </si>
  <si>
    <t>Term to Maturity 7 Years</t>
  </si>
  <si>
    <t>Important Policy Information Summary</t>
  </si>
  <si>
    <t>Signature of Investor (or duly authorised person acting on behalf of the investor)</t>
  </si>
  <si>
    <t xml:space="preserve">Signature of Financial Advisor </t>
  </si>
  <si>
    <t>Important Contact Information</t>
  </si>
  <si>
    <t>Financial Advisor Support Centre - 086 143 2383 | info@itransact.co.za
Investor Support Centre - 086 146 8383 | investor@itransact.co.za
www.itransact.co.za</t>
  </si>
  <si>
    <t>The Absa Life Fixed Interest Growth Plan is a Linked Endowment Policy, meaning that the returns you earn under the Policy are directly linked to the performance of the underlying instrument. At the end of the term, the initial investment amount, along with the return at the guaranteed rate for the investment period, is paid to the policyholder.
While Absa Life does not itself guarantee the returns under the Policy, the underlying investment is made with the product provider (the "Issuer"), a leading South African bank with one of the highest credit ratings among local banks. This structure helps mitigate your investment risk. The investment date and maturity date are specified below.
The underwriter (the "Insurer") of the policy is required to pay tax on any income, dividends, and capital gains arising from the underlying investments, at a rate determined by the policyholder’s tax classification. Should there be any changes to tax legislation or to the Insurer’s tax status, a different tax deduction may be required in the future.
Early withdrawal from your investment account may be subject to fees and charges, which could reduce the final amount paid to you.</t>
  </si>
  <si>
    <t>Policyholder First Name &amp; Surname</t>
  </si>
  <si>
    <t>Advice Fee Percentage (Input any amount up to 3.45% Incl Vat) ①</t>
  </si>
  <si>
    <t>Advice Fee Amount (Charged and Paid Once-Off Upfront – Including VAT) ①</t>
  </si>
  <si>
    <t>Administration Allocation Charge ②</t>
  </si>
  <si>
    <t>Other ③</t>
  </si>
  <si>
    <t>① &amp; ② All charges and costs are reflected in the projected investment return and includes all Administrator costs as well as fees payable to the Insurer. ③ Surrender charges relate to the early termination of the investment and can only be determined at the time of surrender, assuming interest rates remain unchanged from the date of this quotation. To effectively compare this financial product with others, it is important to evaluate both the applicable rate of return and the associated investment risk. The quoted rate of return is applied to your single premium amount to provide an illustrative maturity value at the end of the investment term (including the return of your original capital).  A higher rate implies a larger illustrative maturity value. All fee calculations include Value-Added Tax (VAT) at the prevailing rate, where applicable.</t>
  </si>
  <si>
    <t>(Complete the sections marked in yellow)</t>
  </si>
  <si>
    <t>Year 1</t>
  </si>
  <si>
    <t>Cash received from the investor</t>
  </si>
  <si>
    <t>Cash paid to:</t>
  </si>
  <si>
    <t>IFA</t>
  </si>
  <si>
    <t>Life Company- Life License</t>
  </si>
  <si>
    <t>Administrator</t>
  </si>
  <si>
    <t>Life Company - Taxation</t>
  </si>
  <si>
    <t>Year 7</t>
  </si>
  <si>
    <t xml:space="preserve">Simple interest rate </t>
  </si>
  <si>
    <t>RMB</t>
  </si>
  <si>
    <t>Interest after Expenses and Tax</t>
  </si>
  <si>
    <t>Start Value (Initial Investment)</t>
  </si>
  <si>
    <t>End Value (Final Value after 7 years)</t>
  </si>
  <si>
    <t>Years</t>
  </si>
  <si>
    <t>CAGR (%)</t>
  </si>
  <si>
    <t>Payable to RMB</t>
  </si>
  <si>
    <t>Cash Flows</t>
  </si>
  <si>
    <t>Cash paid to the investor</t>
  </si>
  <si>
    <r>
      <t>Maturity Value</t>
    </r>
    <r>
      <rPr>
        <vertAlign val="superscript"/>
        <sz val="10"/>
        <color theme="1"/>
        <rFont val="Arial"/>
        <family val="2"/>
      </rPr>
      <t>1</t>
    </r>
    <r>
      <rPr>
        <sz val="10"/>
        <color theme="1"/>
        <rFont val="Arial"/>
        <family val="2"/>
      </rPr>
      <t xml:space="preserve"> </t>
    </r>
    <r>
      <rPr>
        <sz val="10"/>
        <color theme="1"/>
        <rFont val="Arial"/>
        <family val="2"/>
      </rPr>
      <t>after tax</t>
    </r>
  </si>
  <si>
    <t>Present value after fees</t>
  </si>
  <si>
    <t>Advice fee</t>
  </si>
  <si>
    <t>Quote Series</t>
  </si>
  <si>
    <t>Underlying zero-coupon bond/fixed interest instrument provided by Rand Merchant Bank (RMB), Global Markets a division of FirstRand Bank Ltd, the "Issuer"</t>
  </si>
  <si>
    <t>Advisor First Name Surname</t>
  </si>
  <si>
    <t>Name of FSP</t>
  </si>
  <si>
    <t>Policy Holder First Name and Surname</t>
  </si>
  <si>
    <t>ID/Passprt Number</t>
  </si>
  <si>
    <t>1.Single Premium Payment: The full single premium must be paid to the Administrator before the policy starts. The policy is only valid at the quoted rates if the Administrator’s deposit turnaround times and all application requirements are met.
2. Rate Changes Due to Market Movements: The Administrator may adjust the rate if market conditions change by more tha 0.020%. If this happens, you will receive a new quote to consider. If you decide not to proceed, your principal capital will be refunded minus any investment facilitation fees.
3. Policy Term and Maturity Value: The policy is a 7-year product. The maturity value is projected and only payable after seven years.
4. Early Surrender: If you surrender your policy before the 7-year term ends, you will receive the early-termination value, which is the balance of your investments (minus any payout costs). This amount is calculated by the insurer.
5. Death Benefit: The death benefit paid will be the market value of the investment at the time all claim requirements and supporting documents have been confirmed. It includes your initial investment plus any returns, less fees.
6. Cooling-Off Period: You have 30 calendar days from the Administrator’s confirmation of acceptance to cancel the policy in writing.
7. No cancellation right if you have received any benefits during this period.
8. On cancellation, you will be refunded your initial investment minus any losses incurred during administration.
9. Replacement of Existing Policies: If this policy replaces all or part of an existing investment or risk policy that has ended in the past four months or will end in the next four months, a Replacement Policy Advice Record must be completed with your intermediary in your presence. You must ensure that you are fully informed and aware that replacing a policy could potentially be disadvantageous to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</si>
</sst>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0.00_-;\-&quot;R&quot;* #,##0.00_-;_-&quot;R&quot;* &quot;-&quot;??_-;_-@_-"/>
    <numFmt numFmtId="43" formatCode="_-* #,##0.00_-;\-* #,##0.00_-;_-* &quot;-&quot;??_-;_-@_-"/>
    <numFmt numFmtId="164" formatCode="_-* #,##0_-;\-* #,##0_-;_-* &quot;-&quot;??_-;_-@_-"/>
    <numFmt numFmtId="165" formatCode="0.000%"/>
    <numFmt numFmtId="166" formatCode="0.00000%"/>
    <numFmt numFmtId="167" formatCode="_-* #,##0.000_-;\-* #,##0.000_-;_-* &quot;-&quot;???_-;_-@_-"/>
    <numFmt numFmtId="168" formatCode="0.000000"/>
    <numFmt numFmtId="169" formatCode="_ &quot;R&quot;\ #,##0.00_ ;_ &quot;R&quot;\ \-#,##0.00_ ;_ &quot;R&quot;\ &quot;-&quot;??_ ;_ @_ "/>
    <numFmt numFmtId="170" formatCode="0.0%"/>
    <numFmt numFmtId="171" formatCode="_-* #,##0.00_-;\-* #,##0.00_-;_-* &quot;-&quot;???_-;_-@_-"/>
    <numFmt numFmtId="172" formatCode="0.000000000000000%"/>
  </numFmts>
  <fonts count="2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color rgb="FFFF0000"/>
      <name val="Arial"/>
      <family val="2"/>
    </font>
    <font>
      <b/>
      <sz val="10"/>
      <color theme="1"/>
      <name val="Arial"/>
      <family val="2"/>
    </font>
    <font>
      <vertAlign val="superscript"/>
      <sz val="10"/>
      <color theme="1"/>
      <name val="Arial"/>
      <family val="2"/>
    </font>
    <font>
      <b/>
      <sz val="10"/>
      <color rgb="FF000000"/>
      <name val="Arial"/>
      <family val="2"/>
    </font>
    <font>
      <sz val="10"/>
      <color rgb="FF000000"/>
      <name val="Arial"/>
      <family val="2"/>
    </font>
    <font>
      <b/>
      <u/>
      <sz val="11"/>
      <color theme="1"/>
      <name val="Calibri"/>
      <family val="2"/>
      <scheme val="minor"/>
    </font>
    <font>
      <b/>
      <sz val="16"/>
      <color theme="1"/>
      <name val="Arial"/>
      <family val="2"/>
    </font>
    <font>
      <sz val="14"/>
      <color theme="1"/>
      <name val="Arial"/>
      <family val="2"/>
    </font>
    <font>
      <b/>
      <sz val="10"/>
      <color rgb="FFFF0000"/>
      <name val="Arial"/>
      <family val="2"/>
    </font>
    <font>
      <b/>
      <i/>
      <sz val="10"/>
      <color theme="1"/>
      <name val="Arial"/>
      <family val="2"/>
    </font>
    <font>
      <b/>
      <sz val="10"/>
      <name val="Arial"/>
      <family val="2"/>
    </font>
    <font>
      <sz val="10"/>
      <name val="Arial"/>
      <family val="2"/>
    </font>
    <font>
      <sz val="8"/>
      <name val="Calibri"/>
      <family val="2"/>
      <scheme val="minor"/>
    </font>
    <font>
      <u/>
      <sz val="11"/>
      <color theme="1"/>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s>
  <borders count="3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double">
        <color indexed="64"/>
      </bottom>
      <diagonal/>
    </border>
    <border>
      <left/>
      <right style="medium">
        <color indexed="64"/>
      </right>
      <top style="medium">
        <color indexed="64"/>
      </top>
      <bottom style="double">
        <color indexed="64"/>
      </bottom>
      <diagonal/>
    </border>
    <border>
      <left/>
      <right/>
      <top/>
      <bottom style="medium">
        <color indexed="64"/>
      </bottom>
      <diagonal/>
    </border>
    <border>
      <left style="medium">
        <color indexed="64"/>
      </left>
      <right style="medium">
        <color indexed="64"/>
      </right>
      <top/>
      <bottom style="double">
        <color indexed="64"/>
      </bottom>
      <diagonal/>
    </border>
    <border>
      <left/>
      <right/>
      <top style="medium">
        <color indexed="64"/>
      </top>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167">
    <xf numFmtId="0" fontId="0" fillId="0" borderId="0" xfId="0"/>
    <xf numFmtId="43" fontId="0" fillId="0" borderId="0" xfId="0" applyNumberFormat="1"/>
    <xf numFmtId="10" fontId="0" fillId="0" borderId="0" xfId="2" applyNumberFormat="1" applyFont="1"/>
    <xf numFmtId="43" fontId="0" fillId="0" borderId="0" xfId="1" applyFont="1"/>
    <xf numFmtId="164" fontId="0" fillId="0" borderId="0" xfId="1" applyNumberFormat="1" applyFont="1"/>
    <xf numFmtId="10" fontId="0" fillId="0" borderId="0" xfId="1" applyNumberFormat="1" applyFont="1"/>
    <xf numFmtId="165" fontId="0" fillId="0" borderId="0" xfId="2" applyNumberFormat="1" applyFont="1"/>
    <xf numFmtId="164" fontId="0" fillId="0" borderId="0" xfId="0" applyNumberFormat="1"/>
    <xf numFmtId="0" fontId="0" fillId="0" borderId="1" xfId="0" applyBorder="1"/>
    <xf numFmtId="0" fontId="0" fillId="0" borderId="3" xfId="0" applyBorder="1"/>
    <xf numFmtId="0" fontId="0" fillId="0" borderId="5" xfId="0" applyBorder="1"/>
    <xf numFmtId="167" fontId="0" fillId="0" borderId="0" xfId="0" applyNumberFormat="1"/>
    <xf numFmtId="0" fontId="5" fillId="0" borderId="10" xfId="0" applyFont="1" applyBorder="1"/>
    <xf numFmtId="167" fontId="0" fillId="0" borderId="11" xfId="0" applyNumberFormat="1" applyBorder="1"/>
    <xf numFmtId="167" fontId="0" fillId="0" borderId="4" xfId="0" applyNumberFormat="1" applyBorder="1"/>
    <xf numFmtId="167" fontId="0" fillId="0" borderId="6" xfId="0" applyNumberFormat="1" applyBorder="1"/>
    <xf numFmtId="167" fontId="0" fillId="0" borderId="2" xfId="0" applyNumberFormat="1" applyBorder="1"/>
    <xf numFmtId="165" fontId="0" fillId="0" borderId="7" xfId="2" applyNumberFormat="1" applyFont="1" applyBorder="1"/>
    <xf numFmtId="165" fontId="0" fillId="0" borderId="8" xfId="0" applyNumberFormat="1" applyBorder="1"/>
    <xf numFmtId="165" fontId="0" fillId="0" borderId="9" xfId="0" applyNumberFormat="1" applyBorder="1"/>
    <xf numFmtId="165" fontId="0" fillId="0" borderId="13" xfId="0" applyNumberFormat="1" applyBorder="1"/>
    <xf numFmtId="0" fontId="0" fillId="0" borderId="8" xfId="0" applyBorder="1"/>
    <xf numFmtId="14" fontId="0" fillId="0" borderId="0" xfId="0" applyNumberFormat="1"/>
    <xf numFmtId="9" fontId="0" fillId="0" borderId="2" xfId="1" applyNumberFormat="1" applyFont="1" applyBorder="1"/>
    <xf numFmtId="164" fontId="0" fillId="0" borderId="4" xfId="1" applyNumberFormat="1" applyFont="1" applyBorder="1"/>
    <xf numFmtId="14" fontId="0" fillId="0" borderId="4" xfId="1" applyNumberFormat="1" applyFont="1" applyBorder="1"/>
    <xf numFmtId="164" fontId="0" fillId="0" borderId="6" xfId="0" applyNumberFormat="1" applyBorder="1"/>
    <xf numFmtId="0" fontId="0" fillId="0" borderId="0" xfId="0" applyAlignment="1">
      <alignment vertical="center"/>
    </xf>
    <xf numFmtId="164" fontId="0" fillId="2" borderId="0" xfId="1" applyNumberFormat="1" applyFont="1" applyFill="1"/>
    <xf numFmtId="164" fontId="0" fillId="0" borderId="0" xfId="1" applyNumberFormat="1" applyFont="1" applyAlignment="1">
      <alignment horizontal="center" vertical="center" wrapText="1"/>
    </xf>
    <xf numFmtId="0" fontId="0" fillId="0" borderId="0" xfId="0" applyAlignment="1">
      <alignment horizontal="center" vertical="center"/>
    </xf>
    <xf numFmtId="10" fontId="0" fillId="2" borderId="0" xfId="1" applyNumberFormat="1" applyFont="1" applyFill="1"/>
    <xf numFmtId="168" fontId="0" fillId="0" borderId="0" xfId="0" applyNumberFormat="1"/>
    <xf numFmtId="166" fontId="0" fillId="3" borderId="4" xfId="2" applyNumberFormat="1" applyFont="1" applyFill="1" applyBorder="1"/>
    <xf numFmtId="9" fontId="0" fillId="0" borderId="0" xfId="0" applyNumberFormat="1"/>
    <xf numFmtId="43" fontId="0" fillId="0" borderId="15" xfId="0" applyNumberFormat="1" applyBorder="1"/>
    <xf numFmtId="10" fontId="0" fillId="0" borderId="0" xfId="2" applyNumberFormat="1" applyFont="1" applyBorder="1"/>
    <xf numFmtId="0" fontId="0" fillId="0" borderId="0" xfId="0" applyAlignment="1">
      <alignment horizontal="left"/>
    </xf>
    <xf numFmtId="43" fontId="0" fillId="0" borderId="16" xfId="0" applyNumberFormat="1" applyBorder="1"/>
    <xf numFmtId="0" fontId="0" fillId="0" borderId="14" xfId="0" applyBorder="1"/>
    <xf numFmtId="0" fontId="0" fillId="0" borderId="2" xfId="0" applyBorder="1"/>
    <xf numFmtId="0" fontId="0" fillId="0" borderId="4" xfId="0" applyBorder="1"/>
    <xf numFmtId="10" fontId="0" fillId="0" borderId="12" xfId="2" applyNumberFormat="1" applyFont="1" applyBorder="1"/>
    <xf numFmtId="0" fontId="0" fillId="0" borderId="6" xfId="0" applyBorder="1"/>
    <xf numFmtId="164" fontId="0" fillId="0" borderId="3" xfId="0" applyNumberFormat="1" applyBorder="1"/>
    <xf numFmtId="43" fontId="0" fillId="0" borderId="4" xfId="0" applyNumberFormat="1" applyBorder="1"/>
    <xf numFmtId="0" fontId="0" fillId="0" borderId="5" xfId="0" applyBorder="1" applyAlignment="1">
      <alignment horizontal="left"/>
    </xf>
    <xf numFmtId="9" fontId="0" fillId="0" borderId="12" xfId="0" applyNumberFormat="1" applyBorder="1"/>
    <xf numFmtId="43" fontId="0" fillId="0" borderId="20" xfId="0" applyNumberFormat="1" applyBorder="1"/>
    <xf numFmtId="43" fontId="0" fillId="0" borderId="2" xfId="0" applyNumberFormat="1" applyBorder="1"/>
    <xf numFmtId="0" fontId="0" fillId="3" borderId="0" xfId="0" applyFill="1"/>
    <xf numFmtId="10" fontId="0" fillId="0" borderId="0" xfId="1" applyNumberFormat="1" applyFont="1" applyFill="1" applyBorder="1"/>
    <xf numFmtId="0" fontId="0" fillId="0" borderId="12" xfId="0" applyBorder="1"/>
    <xf numFmtId="164" fontId="0" fillId="0" borderId="14" xfId="1" applyNumberFormat="1" applyFont="1" applyBorder="1"/>
    <xf numFmtId="164" fontId="0" fillId="0" borderId="0" xfId="1" applyNumberFormat="1" applyFont="1" applyFill="1" applyBorder="1"/>
    <xf numFmtId="0" fontId="5" fillId="0" borderId="1" xfId="0" applyFont="1" applyBorder="1"/>
    <xf numFmtId="164" fontId="0" fillId="3" borderId="4" xfId="1" applyNumberFormat="1" applyFont="1" applyFill="1" applyBorder="1"/>
    <xf numFmtId="165" fontId="0" fillId="0" borderId="0" xfId="1" applyNumberFormat="1" applyFont="1" applyBorder="1"/>
    <xf numFmtId="10" fontId="0" fillId="0" borderId="0" xfId="0" applyNumberFormat="1"/>
    <xf numFmtId="164" fontId="0" fillId="0" borderId="6" xfId="1" applyNumberFormat="1" applyFont="1" applyBorder="1"/>
    <xf numFmtId="171" fontId="0" fillId="0" borderId="2" xfId="0" applyNumberFormat="1" applyBorder="1"/>
    <xf numFmtId="171" fontId="0" fillId="0" borderId="4" xfId="0" applyNumberFormat="1" applyBorder="1"/>
    <xf numFmtId="171" fontId="0" fillId="0" borderId="11" xfId="0" applyNumberFormat="1" applyBorder="1"/>
    <xf numFmtId="43" fontId="0" fillId="0" borderId="2" xfId="1" applyFont="1" applyFill="1" applyBorder="1"/>
    <xf numFmtId="10" fontId="0" fillId="0" borderId="0" xfId="2" applyNumberFormat="1" applyFont="1" applyFill="1" applyBorder="1"/>
    <xf numFmtId="164" fontId="0" fillId="0" borderId="0" xfId="1" applyNumberFormat="1" applyFont="1" applyFill="1"/>
    <xf numFmtId="43" fontId="0" fillId="0" borderId="21" xfId="0" applyNumberFormat="1" applyBorder="1"/>
    <xf numFmtId="10" fontId="0" fillId="0" borderId="4" xfId="2" applyNumberFormat="1" applyFont="1" applyBorder="1"/>
    <xf numFmtId="10" fontId="0" fillId="0" borderId="6" xfId="2" applyNumberFormat="1" applyFont="1" applyBorder="1"/>
    <xf numFmtId="10" fontId="0" fillId="0" borderId="4" xfId="1" applyNumberFormat="1" applyFont="1" applyFill="1" applyBorder="1"/>
    <xf numFmtId="165" fontId="0" fillId="3" borderId="0" xfId="1" applyNumberFormat="1" applyFont="1" applyFill="1" applyBorder="1"/>
    <xf numFmtId="165" fontId="0" fillId="0" borderId="0" xfId="1" applyNumberFormat="1" applyFont="1" applyFill="1" applyBorder="1"/>
    <xf numFmtId="0" fontId="11" fillId="0" borderId="0" xfId="0" applyFont="1" applyAlignment="1">
      <alignment horizontal="center"/>
    </xf>
    <xf numFmtId="9" fontId="0" fillId="3" borderId="2" xfId="1" applyNumberFormat="1" applyFont="1" applyFill="1" applyBorder="1"/>
    <xf numFmtId="164" fontId="0" fillId="0" borderId="0" xfId="1" applyNumberFormat="1" applyFont="1" applyAlignment="1">
      <alignment horizontal="center" vertical="center"/>
    </xf>
    <xf numFmtId="0" fontId="5" fillId="0" borderId="0" xfId="0" applyFont="1"/>
    <xf numFmtId="43" fontId="19" fillId="0" borderId="0" xfId="1" applyFont="1" applyAlignment="1">
      <alignment horizontal="center"/>
    </xf>
    <xf numFmtId="43" fontId="0" fillId="0" borderId="32" xfId="0" applyNumberFormat="1" applyBorder="1"/>
    <xf numFmtId="43" fontId="0" fillId="0" borderId="33" xfId="0" applyNumberFormat="1" applyBorder="1"/>
    <xf numFmtId="0" fontId="0" fillId="0" borderId="4" xfId="1" applyNumberFormat="1" applyFont="1" applyBorder="1"/>
    <xf numFmtId="172" fontId="0" fillId="0" borderId="0" xfId="0" applyNumberFormat="1"/>
    <xf numFmtId="43" fontId="0" fillId="0" borderId="0" xfId="1" applyFont="1" applyBorder="1"/>
    <xf numFmtId="0" fontId="5" fillId="0" borderId="19" xfId="0" applyFont="1" applyBorder="1" applyAlignment="1">
      <alignment horizontal="center" vertical="top"/>
    </xf>
    <xf numFmtId="0" fontId="11" fillId="0" borderId="0" xfId="0" applyFont="1"/>
    <xf numFmtId="166" fontId="0" fillId="0" borderId="4" xfId="1" applyNumberFormat="1" applyFont="1" applyBorder="1"/>
    <xf numFmtId="166" fontId="0" fillId="0" borderId="0" xfId="1" applyNumberFormat="1" applyFont="1" applyBorder="1"/>
    <xf numFmtId="0" fontId="12" fillId="4" borderId="0" xfId="0" applyFont="1" applyFill="1" applyAlignment="1">
      <alignment vertical="center"/>
    </xf>
    <xf numFmtId="0" fontId="3" fillId="4" borderId="0" xfId="0" applyFont="1" applyFill="1"/>
    <xf numFmtId="0" fontId="13" fillId="4" borderId="0" xfId="0" applyFont="1" applyFill="1" applyAlignment="1">
      <alignment vertical="center"/>
    </xf>
    <xf numFmtId="0" fontId="7" fillId="4" borderId="0" xfId="0" applyFont="1" applyFill="1" applyAlignment="1">
      <alignment vertical="center"/>
    </xf>
    <xf numFmtId="0" fontId="7" fillId="4" borderId="0" xfId="0" applyFont="1" applyFill="1" applyAlignment="1">
      <alignment vertical="top"/>
    </xf>
    <xf numFmtId="0" fontId="3" fillId="4" borderId="0" xfId="0" applyFont="1" applyFill="1" applyAlignment="1">
      <alignment vertical="top"/>
    </xf>
    <xf numFmtId="0" fontId="7" fillId="4" borderId="0" xfId="0" applyFont="1" applyFill="1" applyAlignment="1">
      <alignment horizontal="justify" vertical="top"/>
    </xf>
    <xf numFmtId="0" fontId="3" fillId="4" borderId="0" xfId="0" applyFont="1" applyFill="1" applyAlignment="1">
      <alignment vertical="top" wrapText="1"/>
    </xf>
    <xf numFmtId="0" fontId="14" fillId="4" borderId="0" xfId="0" applyFont="1" applyFill="1" applyAlignment="1">
      <alignment horizontal="left" vertical="top" wrapText="1"/>
    </xf>
    <xf numFmtId="0" fontId="6" fillId="4" borderId="0" xfId="0" applyFont="1" applyFill="1" applyAlignment="1">
      <alignment vertical="top" wrapText="1"/>
    </xf>
    <xf numFmtId="0" fontId="16" fillId="4" borderId="0" xfId="0" applyFont="1" applyFill="1" applyAlignment="1">
      <alignment horizontal="left" vertical="top" wrapText="1"/>
    </xf>
    <xf numFmtId="0" fontId="17" fillId="4" borderId="0" xfId="0" applyFont="1" applyFill="1" applyAlignment="1">
      <alignment vertical="top" wrapText="1"/>
    </xf>
    <xf numFmtId="0" fontId="17" fillId="4" borderId="0" xfId="0" applyFont="1" applyFill="1"/>
    <xf numFmtId="0" fontId="1" fillId="4" borderId="0" xfId="0" applyFont="1" applyFill="1" applyAlignment="1">
      <alignment vertical="top"/>
    </xf>
    <xf numFmtId="0" fontId="3" fillId="4" borderId="0" xfId="0" applyFont="1" applyFill="1" applyAlignment="1">
      <alignment horizontal="right" vertical="top"/>
    </xf>
    <xf numFmtId="0" fontId="3" fillId="4" borderId="0" xfId="0" applyFont="1" applyFill="1" applyAlignment="1">
      <alignment horizontal="left" vertical="top"/>
    </xf>
    <xf numFmtId="0" fontId="3" fillId="4" borderId="22" xfId="0" applyFont="1" applyFill="1" applyBorder="1" applyAlignment="1">
      <alignment horizontal="left" vertical="top"/>
    </xf>
    <xf numFmtId="0" fontId="7" fillId="5" borderId="0" xfId="0" applyFont="1" applyFill="1" applyAlignment="1">
      <alignment vertical="top"/>
    </xf>
    <xf numFmtId="0" fontId="3" fillId="5" borderId="0" xfId="0" applyFont="1" applyFill="1" applyAlignment="1">
      <alignment horizontal="right" vertical="top"/>
    </xf>
    <xf numFmtId="0" fontId="2" fillId="4" borderId="0" xfId="0" applyFont="1" applyFill="1" applyAlignment="1">
      <alignment vertical="top"/>
    </xf>
    <xf numFmtId="0" fontId="9" fillId="6" borderId="19" xfId="0" applyFont="1" applyFill="1" applyBorder="1" applyAlignment="1">
      <alignment vertical="top" wrapText="1"/>
    </xf>
    <xf numFmtId="0" fontId="9" fillId="6" borderId="19" xfId="0" applyFont="1" applyFill="1" applyBorder="1" applyAlignment="1">
      <alignment horizontal="center" vertical="top" wrapText="1"/>
    </xf>
    <xf numFmtId="0" fontId="3" fillId="4" borderId="0" xfId="0" applyFont="1" applyFill="1" applyAlignment="1">
      <alignment wrapText="1"/>
    </xf>
    <xf numFmtId="0" fontId="10" fillId="4" borderId="28" xfId="0" applyFont="1" applyFill="1" applyBorder="1" applyAlignment="1">
      <alignment vertical="top"/>
    </xf>
    <xf numFmtId="170" fontId="10" fillId="4" borderId="28" xfId="0" applyNumberFormat="1" applyFont="1" applyFill="1" applyBorder="1" applyAlignment="1">
      <alignment vertical="top"/>
    </xf>
    <xf numFmtId="0" fontId="10" fillId="4" borderId="24" xfId="0" applyFont="1" applyFill="1" applyBorder="1" applyAlignment="1">
      <alignment vertical="top"/>
    </xf>
    <xf numFmtId="170" fontId="10" fillId="4" borderId="24" xfId="0" applyNumberFormat="1" applyFont="1" applyFill="1" applyBorder="1" applyAlignment="1">
      <alignment vertical="top"/>
    </xf>
    <xf numFmtId="0" fontId="10" fillId="4" borderId="25" xfId="0" applyFont="1" applyFill="1" applyBorder="1" applyAlignment="1">
      <alignment vertical="top"/>
    </xf>
    <xf numFmtId="170" fontId="10" fillId="4" borderId="25" xfId="0" applyNumberFormat="1" applyFont="1" applyFill="1" applyBorder="1" applyAlignment="1">
      <alignment vertical="top"/>
    </xf>
    <xf numFmtId="0" fontId="7" fillId="4" borderId="0" xfId="0" applyFont="1" applyFill="1"/>
    <xf numFmtId="0" fontId="7" fillId="4" borderId="0" xfId="0" applyFont="1" applyFill="1" applyAlignment="1">
      <alignment horizontal="left" vertical="top"/>
    </xf>
    <xf numFmtId="10" fontId="15" fillId="4" borderId="0" xfId="2" applyNumberFormat="1" applyFont="1" applyFill="1" applyBorder="1" applyAlignment="1" applyProtection="1">
      <alignment vertical="top"/>
    </xf>
    <xf numFmtId="0" fontId="3" fillId="5" borderId="0" xfId="0" applyFont="1" applyFill="1" applyAlignment="1">
      <alignment vertical="top"/>
    </xf>
    <xf numFmtId="0" fontId="3" fillId="4" borderId="31" xfId="0" applyFont="1" applyFill="1" applyBorder="1" applyAlignment="1">
      <alignment horizontal="center" vertical="top"/>
    </xf>
    <xf numFmtId="0" fontId="3" fillId="4" borderId="0" xfId="0" applyFont="1" applyFill="1" applyAlignment="1">
      <alignment horizontal="left" vertical="top" wrapText="1"/>
    </xf>
    <xf numFmtId="0" fontId="7" fillId="4" borderId="0" xfId="0" applyFont="1" applyFill="1" applyAlignment="1">
      <alignment horizontal="left" vertical="top" wrapText="1"/>
    </xf>
    <xf numFmtId="0" fontId="3" fillId="0" borderId="0" xfId="0" applyFont="1"/>
    <xf numFmtId="10" fontId="3" fillId="4" borderId="17" xfId="0" applyNumberFormat="1" applyFont="1" applyFill="1" applyBorder="1" applyAlignment="1">
      <alignment horizontal="right" vertical="top"/>
    </xf>
    <xf numFmtId="10" fontId="3" fillId="4" borderId="18" xfId="0" applyNumberFormat="1" applyFont="1" applyFill="1" applyBorder="1" applyAlignment="1">
      <alignment horizontal="right" vertical="top"/>
    </xf>
    <xf numFmtId="0" fontId="3" fillId="4" borderId="26" xfId="0" applyFont="1" applyFill="1" applyBorder="1" applyAlignment="1">
      <alignment horizontal="left" vertical="top" wrapText="1"/>
    </xf>
    <xf numFmtId="0" fontId="1" fillId="4" borderId="0" xfId="0" applyFont="1" applyFill="1" applyAlignment="1">
      <alignment horizontal="left" vertical="top" wrapText="1"/>
    </xf>
    <xf numFmtId="0" fontId="3" fillId="4" borderId="0" xfId="0" applyFont="1" applyFill="1" applyAlignment="1">
      <alignment horizontal="left" vertical="top"/>
    </xf>
    <xf numFmtId="0" fontId="3" fillId="4" borderId="23" xfId="0" applyFont="1" applyFill="1" applyBorder="1" applyAlignment="1">
      <alignment horizontal="left" vertical="top" wrapText="1"/>
    </xf>
    <xf numFmtId="0" fontId="7" fillId="5" borderId="29" xfId="0" applyFont="1" applyFill="1" applyBorder="1" applyAlignment="1">
      <alignment horizontal="left" vertical="top"/>
    </xf>
    <xf numFmtId="0" fontId="7" fillId="5" borderId="16" xfId="0" applyFont="1" applyFill="1" applyBorder="1" applyAlignment="1">
      <alignment horizontal="left" vertical="top"/>
    </xf>
    <xf numFmtId="0" fontId="7" fillId="5" borderId="30" xfId="0" applyFont="1" applyFill="1" applyBorder="1" applyAlignment="1">
      <alignment horizontal="left" vertical="top"/>
    </xf>
    <xf numFmtId="0" fontId="7" fillId="6" borderId="0" xfId="0" applyFont="1" applyFill="1" applyAlignment="1">
      <alignment horizontal="left" vertical="top"/>
    </xf>
    <xf numFmtId="169" fontId="3" fillId="3" borderId="17" xfId="3" applyNumberFormat="1" applyFont="1" applyFill="1" applyBorder="1" applyAlignment="1" applyProtection="1">
      <alignment horizontal="right" vertical="top"/>
      <protection locked="0"/>
    </xf>
    <xf numFmtId="169" fontId="3" fillId="3" borderId="18" xfId="3" applyNumberFormat="1" applyFont="1" applyFill="1" applyBorder="1" applyAlignment="1" applyProtection="1">
      <alignment horizontal="right" vertical="top"/>
      <protection locked="0"/>
    </xf>
    <xf numFmtId="10" fontId="3" fillId="4" borderId="17" xfId="2" applyNumberFormat="1" applyFont="1" applyFill="1" applyBorder="1" applyAlignment="1" applyProtection="1">
      <alignment horizontal="right" vertical="top"/>
    </xf>
    <xf numFmtId="10" fontId="3" fillId="4" borderId="18" xfId="2" applyNumberFormat="1" applyFont="1" applyFill="1" applyBorder="1" applyAlignment="1" applyProtection="1">
      <alignment horizontal="right" vertical="top"/>
    </xf>
    <xf numFmtId="169" fontId="3" fillId="4" borderId="17" xfId="3" applyNumberFormat="1" applyFont="1" applyFill="1" applyBorder="1" applyAlignment="1" applyProtection="1">
      <alignment horizontal="right" vertical="top"/>
    </xf>
    <xf numFmtId="169" fontId="3" fillId="4" borderId="18" xfId="3" applyNumberFormat="1" applyFont="1" applyFill="1" applyBorder="1" applyAlignment="1" applyProtection="1">
      <alignment horizontal="right" vertical="top"/>
    </xf>
    <xf numFmtId="10" fontId="3" fillId="3" borderId="17" xfId="2" applyNumberFormat="1" applyFont="1" applyFill="1" applyBorder="1" applyAlignment="1" applyProtection="1">
      <alignment horizontal="right" vertical="top"/>
      <protection locked="0"/>
    </xf>
    <xf numFmtId="10" fontId="3" fillId="3" borderId="18" xfId="2" applyNumberFormat="1" applyFont="1" applyFill="1" applyBorder="1" applyAlignment="1" applyProtection="1">
      <alignment horizontal="right" vertical="top"/>
      <protection locked="0"/>
    </xf>
    <xf numFmtId="14" fontId="14" fillId="4" borderId="17" xfId="0" applyNumberFormat="1" applyFont="1" applyFill="1" applyBorder="1" applyAlignment="1">
      <alignment horizontal="right" vertical="top"/>
    </xf>
    <xf numFmtId="14" fontId="14" fillId="4" borderId="27" xfId="0" applyNumberFormat="1" applyFont="1" applyFill="1" applyBorder="1" applyAlignment="1">
      <alignment horizontal="right" vertical="top"/>
    </xf>
    <xf numFmtId="14" fontId="14" fillId="4" borderId="18" xfId="0" applyNumberFormat="1" applyFont="1" applyFill="1" applyBorder="1" applyAlignment="1">
      <alignment horizontal="right" vertical="top"/>
    </xf>
    <xf numFmtId="0" fontId="7" fillId="5" borderId="0" xfId="0" applyFont="1" applyFill="1" applyAlignment="1">
      <alignment horizontal="left" vertical="top"/>
    </xf>
    <xf numFmtId="0" fontId="3" fillId="0" borderId="0" xfId="0" applyFont="1" applyAlignment="1">
      <alignment horizontal="center"/>
    </xf>
    <xf numFmtId="14" fontId="7" fillId="4" borderId="3" xfId="0" applyNumberFormat="1" applyFont="1" applyFill="1" applyBorder="1" applyAlignment="1">
      <alignment horizontal="left" vertical="center"/>
    </xf>
    <xf numFmtId="14" fontId="7" fillId="4" borderId="0" xfId="0" applyNumberFormat="1" applyFont="1" applyFill="1" applyAlignment="1">
      <alignment horizontal="left" vertical="center"/>
    </xf>
    <xf numFmtId="14" fontId="3" fillId="4" borderId="17" xfId="0" applyNumberFormat="1" applyFont="1" applyFill="1" applyBorder="1" applyAlignment="1">
      <alignment horizontal="right" vertical="top"/>
    </xf>
    <xf numFmtId="14" fontId="3" fillId="4" borderId="18" xfId="0" applyNumberFormat="1" applyFont="1" applyFill="1" applyBorder="1" applyAlignment="1">
      <alignment horizontal="right" vertical="top"/>
    </xf>
    <xf numFmtId="0" fontId="3" fillId="4" borderId="0" xfId="0" applyFont="1" applyFill="1" applyAlignment="1">
      <alignment vertical="top" wrapText="1"/>
    </xf>
    <xf numFmtId="0" fontId="3" fillId="4" borderId="17" xfId="0" applyFont="1" applyFill="1" applyBorder="1" applyAlignment="1">
      <alignment horizontal="right" vertical="top"/>
    </xf>
    <xf numFmtId="0" fontId="3" fillId="4" borderId="18" xfId="0" applyFont="1" applyFill="1" applyBorder="1" applyAlignment="1">
      <alignment horizontal="right" vertical="top"/>
    </xf>
    <xf numFmtId="14" fontId="3" fillId="0" borderId="17" xfId="0" applyNumberFormat="1" applyFont="1" applyBorder="1" applyAlignment="1">
      <alignment horizontal="right" vertical="top"/>
    </xf>
    <xf numFmtId="14" fontId="3" fillId="0" borderId="18" xfId="0" applyNumberFormat="1" applyFont="1" applyBorder="1" applyAlignment="1">
      <alignment horizontal="right" vertical="top"/>
    </xf>
    <xf numFmtId="0" fontId="1" fillId="3" borderId="17" xfId="0" applyFont="1" applyFill="1" applyBorder="1" applyAlignment="1" applyProtection="1">
      <alignment horizontal="right" vertical="top"/>
      <protection locked="0"/>
    </xf>
    <xf numFmtId="0" fontId="3" fillId="3" borderId="27" xfId="0" applyFont="1" applyFill="1" applyBorder="1" applyAlignment="1" applyProtection="1">
      <alignment horizontal="right" vertical="top"/>
      <protection locked="0"/>
    </xf>
    <xf numFmtId="0" fontId="3" fillId="3" borderId="18" xfId="0" applyFont="1" applyFill="1" applyBorder="1" applyAlignment="1" applyProtection="1">
      <alignment horizontal="right" vertical="top"/>
      <protection locked="0"/>
    </xf>
    <xf numFmtId="1" fontId="1" fillId="3" borderId="17" xfId="0" applyNumberFormat="1" applyFont="1" applyFill="1" applyBorder="1" applyAlignment="1" applyProtection="1">
      <alignment horizontal="right" vertical="top"/>
      <protection locked="0"/>
    </xf>
    <xf numFmtId="1" fontId="3" fillId="3" borderId="27" xfId="0" applyNumberFormat="1" applyFont="1" applyFill="1" applyBorder="1" applyAlignment="1" applyProtection="1">
      <alignment horizontal="right" vertical="top"/>
      <protection locked="0"/>
    </xf>
    <xf numFmtId="1" fontId="3" fillId="3" borderId="18" xfId="0" applyNumberFormat="1" applyFont="1" applyFill="1" applyBorder="1" applyAlignment="1" applyProtection="1">
      <alignment horizontal="right" vertical="top"/>
      <protection locked="0"/>
    </xf>
    <xf numFmtId="0" fontId="3" fillId="4" borderId="0" xfId="0" applyFont="1" applyFill="1" applyAlignment="1">
      <alignment horizontal="left" vertical="top" wrapText="1"/>
    </xf>
    <xf numFmtId="0" fontId="11" fillId="0" borderId="0" xfId="0" applyFont="1" applyAlignment="1">
      <alignment horizontal="center"/>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460375</xdr:colOff>
      <xdr:row>2</xdr:row>
      <xdr:rowOff>61912</xdr:rowOff>
    </xdr:from>
    <xdr:to>
      <xdr:col>6</xdr:col>
      <xdr:colOff>0</xdr:colOff>
      <xdr:row>5</xdr:row>
      <xdr:rowOff>146173</xdr:rowOff>
    </xdr:to>
    <xdr:pic>
      <xdr:nvPicPr>
        <xdr:cNvPr id="5" name="Picture 4">
          <a:extLst>
            <a:ext uri="{FF2B5EF4-FFF2-40B4-BE49-F238E27FC236}">
              <a16:creationId xmlns:a16="http://schemas.microsoft.com/office/drawing/2014/main" id="{234A361E-2070-44AC-17FA-A472804CEE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5313" y="61912"/>
          <a:ext cx="1492250" cy="6795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baisley\Desktop\Copy%20of%20Quote%20(Fixed%20Return)%20v4.xlsx" TargetMode="External"/><Relationship Id="rId1" Type="http://schemas.openxmlformats.org/officeDocument/2006/relationships/externalLinkPath" Target="file:///C:\Users\mbaisley\Desktop\Copy%20of%20Quote%20(Fixed%20Return)%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s"/>
      <sheetName val="Quote"/>
    </sheetNames>
    <sheetDataSet>
      <sheetData sheetId="0" refreshError="1">
        <row r="15">
          <cell r="C15">
            <v>100000</v>
          </cell>
        </row>
        <row r="61">
          <cell r="D61">
            <v>0</v>
          </cell>
        </row>
      </sheetData>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1F631-2A59-466C-8F98-B5C0C9624A43}">
  <sheetPr codeName="Sheet2"/>
  <dimension ref="A3:F64"/>
  <sheetViews>
    <sheetView tabSelected="1" view="pageBreakPreview" topLeftCell="A11" zoomScale="110" zoomScaleNormal="100" zoomScaleSheetLayoutView="110" workbookViewId="0">
      <selection activeCell="B17" sqref="B17:E17"/>
    </sheetView>
  </sheetViews>
  <sheetFormatPr defaultColWidth="0" defaultRowHeight="0" customHeight="1" zeroHeight="1" x14ac:dyDescent="0.2"/>
  <cols>
    <col min="1" max="1" width="93.42578125" style="91" customWidth="1"/>
    <col min="2" max="4" width="11.42578125" style="91" customWidth="1"/>
    <col min="5" max="5" width="16" style="91" customWidth="1"/>
    <col min="6" max="6" width="1.85546875" style="122" customWidth="1"/>
    <col min="7" max="16384" width="9.140625" style="87" hidden="1"/>
  </cols>
  <sheetData>
    <row r="3" spans="1:6" ht="18.75" customHeight="1" x14ac:dyDescent="0.2">
      <c r="A3" s="86" t="s">
        <v>78</v>
      </c>
      <c r="B3" s="87"/>
      <c r="C3" s="87"/>
      <c r="D3" s="87"/>
      <c r="E3" s="87"/>
      <c r="F3" s="145"/>
    </row>
    <row r="4" spans="1:6" ht="18" x14ac:dyDescent="0.2">
      <c r="A4" s="88" t="s">
        <v>44</v>
      </c>
      <c r="B4" s="89"/>
      <c r="C4" s="89"/>
      <c r="D4" s="87"/>
      <c r="E4" s="87"/>
      <c r="F4" s="145"/>
    </row>
    <row r="5" spans="1:6" ht="9.75" customHeight="1" x14ac:dyDescent="0.2">
      <c r="A5" s="86"/>
      <c r="B5" s="89"/>
      <c r="C5" s="89"/>
      <c r="D5" s="87"/>
      <c r="E5" s="87"/>
      <c r="F5" s="145"/>
    </row>
    <row r="6" spans="1:6" ht="12.75" x14ac:dyDescent="0.2">
      <c r="A6" s="90" t="s">
        <v>85</v>
      </c>
      <c r="B6" s="90"/>
      <c r="C6" s="90"/>
      <c r="F6" s="145"/>
    </row>
    <row r="7" spans="1:6" ht="12.75" x14ac:dyDescent="0.2">
      <c r="A7" s="90" t="s">
        <v>126</v>
      </c>
      <c r="B7" s="90"/>
      <c r="C7" s="90"/>
      <c r="F7" s="145"/>
    </row>
    <row r="8" spans="1:6" ht="12.75" x14ac:dyDescent="0.2">
      <c r="A8" s="92" t="s">
        <v>86</v>
      </c>
      <c r="B8" s="92"/>
      <c r="C8" s="92"/>
      <c r="F8" s="145"/>
    </row>
    <row r="9" spans="1:6" ht="9" customHeight="1" x14ac:dyDescent="0.2">
      <c r="A9" s="92"/>
      <c r="B9" s="92"/>
      <c r="C9" s="92"/>
      <c r="F9" s="145"/>
    </row>
    <row r="10" spans="1:6" ht="132.75" customHeight="1" x14ac:dyDescent="0.2">
      <c r="A10" s="150" t="s">
        <v>96</v>
      </c>
      <c r="B10" s="150"/>
      <c r="C10" s="150"/>
      <c r="D10" s="150"/>
      <c r="E10" s="150"/>
      <c r="F10" s="145"/>
    </row>
    <row r="11" spans="1:6" ht="14.25" customHeight="1" x14ac:dyDescent="0.2">
      <c r="A11" s="94" t="str">
        <f ca="1">"This quote is valid from " &amp; TEXT(TODAY()-WEEKDAY(TODAY(), 2)+1,"dd/mm/yyyy") &amp; " to " &amp; TEXT(TODAY()-WEEKDAY(TODAY(), 2)+5,"dd/mm/yyyy")</f>
        <v>This quote is valid from 18/05/2026 to 22/05/2026</v>
      </c>
      <c r="B11" s="95"/>
      <c r="C11" s="95"/>
      <c r="D11" s="93"/>
      <c r="E11" s="93"/>
      <c r="F11" s="145"/>
    </row>
    <row r="12" spans="1:6" ht="7.5" customHeight="1" x14ac:dyDescent="0.2">
      <c r="A12" s="94"/>
      <c r="B12" s="95"/>
      <c r="C12" s="95"/>
      <c r="D12" s="93"/>
      <c r="E12" s="93"/>
      <c r="F12" s="145"/>
    </row>
    <row r="13" spans="1:6" s="98" customFormat="1" ht="12.75" customHeight="1" x14ac:dyDescent="0.2">
      <c r="A13" s="96" t="s">
        <v>103</v>
      </c>
      <c r="B13" s="97"/>
      <c r="C13" s="97"/>
      <c r="D13" s="97"/>
      <c r="E13" s="97"/>
      <c r="F13" s="145"/>
    </row>
    <row r="14" spans="1:6" s="98" customFormat="1" ht="9" customHeight="1" x14ac:dyDescent="0.2">
      <c r="A14" s="96"/>
      <c r="B14" s="97"/>
      <c r="C14" s="97"/>
      <c r="D14" s="97"/>
      <c r="E14" s="97"/>
      <c r="F14" s="145"/>
    </row>
    <row r="15" spans="1:6" ht="14.1" customHeight="1" x14ac:dyDescent="0.2">
      <c r="A15" s="91" t="s">
        <v>45</v>
      </c>
      <c r="B15" s="141">
        <f ca="1">TODAY()</f>
        <v>46160</v>
      </c>
      <c r="C15" s="142"/>
      <c r="D15" s="142"/>
      <c r="E15" s="143"/>
      <c r="F15" s="145"/>
    </row>
    <row r="16" spans="1:6" ht="14.1" customHeight="1" x14ac:dyDescent="0.2">
      <c r="A16" s="99" t="s">
        <v>125</v>
      </c>
      <c r="B16" s="141" t="str">
        <f ca="1">"AL-FIGP-" &amp; TEXT(TODAY()-WEEKDAY(TODAY(),2)+1,"yyyymmdd")</f>
        <v>AL-FIGP-20260518</v>
      </c>
      <c r="C16" s="142"/>
      <c r="D16" s="142"/>
      <c r="E16" s="143"/>
      <c r="F16" s="145"/>
    </row>
    <row r="17" spans="1:6" ht="14.1" customHeight="1" x14ac:dyDescent="0.2">
      <c r="A17" s="91" t="s">
        <v>82</v>
      </c>
      <c r="B17" s="155" t="s">
        <v>127</v>
      </c>
      <c r="C17" s="156"/>
      <c r="D17" s="156"/>
      <c r="E17" s="157"/>
      <c r="F17" s="145"/>
    </row>
    <row r="18" spans="1:6" ht="14.1" customHeight="1" x14ac:dyDescent="0.2">
      <c r="A18" s="91" t="s">
        <v>81</v>
      </c>
      <c r="B18" s="158" t="s">
        <v>128</v>
      </c>
      <c r="C18" s="159"/>
      <c r="D18" s="159"/>
      <c r="E18" s="160"/>
      <c r="F18" s="145"/>
    </row>
    <row r="19" spans="1:6" ht="14.1" customHeight="1" x14ac:dyDescent="0.2">
      <c r="A19" s="91" t="s">
        <v>97</v>
      </c>
      <c r="B19" s="155" t="s">
        <v>129</v>
      </c>
      <c r="C19" s="156"/>
      <c r="D19" s="156"/>
      <c r="E19" s="157"/>
      <c r="F19" s="145"/>
    </row>
    <row r="20" spans="1:6" ht="14.1" customHeight="1" x14ac:dyDescent="0.2">
      <c r="A20" s="91" t="s">
        <v>83</v>
      </c>
      <c r="B20" s="158" t="s">
        <v>130</v>
      </c>
      <c r="C20" s="159"/>
      <c r="D20" s="159"/>
      <c r="E20" s="160"/>
      <c r="F20" s="145"/>
    </row>
    <row r="21" spans="1:6" ht="7.5" customHeight="1" x14ac:dyDescent="0.2">
      <c r="E21" s="100"/>
      <c r="F21" s="145"/>
    </row>
    <row r="22" spans="1:6" ht="12.75" x14ac:dyDescent="0.2">
      <c r="A22" s="144" t="s">
        <v>46</v>
      </c>
      <c r="B22" s="144"/>
      <c r="C22" s="144"/>
      <c r="D22" s="144"/>
      <c r="E22" s="144"/>
      <c r="F22" s="145"/>
    </row>
    <row r="23" spans="1:6" ht="14.1" customHeight="1" x14ac:dyDescent="0.2">
      <c r="A23" s="91" t="s">
        <v>66</v>
      </c>
      <c r="D23" s="151">
        <v>7</v>
      </c>
      <c r="E23" s="152"/>
      <c r="F23" s="145"/>
    </row>
    <row r="24" spans="1:6" ht="14.1" customHeight="1" x14ac:dyDescent="0.2">
      <c r="A24" s="101" t="s">
        <v>79</v>
      </c>
      <c r="B24" s="101"/>
      <c r="C24" s="102"/>
      <c r="D24" s="153" t="str">
        <f ca="1">TEXT(TODAY()-WEEKDAY(TODAY(), 2)+8, "dd/mm/yyyy") &amp; " to " &amp; TEXT(TODAY()-WEEKDAY(TODAY(), 2)+12, "dd/mm/yyyy")</f>
        <v>25/05/2026 to 29/05/2026</v>
      </c>
      <c r="E24" s="154"/>
      <c r="F24" s="145"/>
    </row>
    <row r="25" spans="1:6" ht="14.1" customHeight="1" x14ac:dyDescent="0.2">
      <c r="A25" s="91" t="s">
        <v>80</v>
      </c>
      <c r="D25" s="148" t="str">
        <f ca="1">TEXT(EDATE(TODAY()-WEEKDAY(TODAY(), 2)+8, 12*7), "dd/mm/yyyy") &amp; " to " &amp; TEXT(EDATE(TODAY()-WEEKDAY(TODAY(), 2)+12, 12*7), "dd/mm/yyyy")</f>
        <v>25/05/2033 to 29/05/2033</v>
      </c>
      <c r="E25" s="149">
        <f>DATE(YEAR(E24)+7,MONTH(E24),DAY(E24))</f>
        <v>2557</v>
      </c>
      <c r="F25" s="145"/>
    </row>
    <row r="26" spans="1:6" ht="7.5" customHeight="1" x14ac:dyDescent="0.2">
      <c r="E26" s="100"/>
      <c r="F26" s="145"/>
    </row>
    <row r="27" spans="1:6" ht="12.75" x14ac:dyDescent="0.2">
      <c r="A27" s="103" t="s">
        <v>47</v>
      </c>
      <c r="B27" s="103"/>
      <c r="C27" s="103"/>
      <c r="D27" s="103"/>
      <c r="E27" s="104"/>
      <c r="F27" s="145"/>
    </row>
    <row r="28" spans="1:6" ht="14.1" customHeight="1" x14ac:dyDescent="0.2">
      <c r="A28" s="91" t="s">
        <v>48</v>
      </c>
      <c r="D28" s="133">
        <v>100000</v>
      </c>
      <c r="E28" s="134"/>
      <c r="F28" s="145"/>
    </row>
    <row r="29" spans="1:6" ht="14.1" customHeight="1" x14ac:dyDescent="0.2">
      <c r="A29" s="91" t="s">
        <v>87</v>
      </c>
      <c r="D29" s="135">
        <f>'Pricing Component 1'!C28</f>
        <v>7.0119244756225108E-2</v>
      </c>
      <c r="E29" s="136"/>
      <c r="F29" s="145"/>
    </row>
    <row r="30" spans="1:6" ht="14.1" customHeight="1" x14ac:dyDescent="0.2">
      <c r="A30" s="105" t="s">
        <v>122</v>
      </c>
      <c r="D30" s="137">
        <f>'Pricing Component 1'!R89</f>
        <v>124008.84685524166</v>
      </c>
      <c r="E30" s="138"/>
      <c r="F30" s="145"/>
    </row>
    <row r="31" spans="1:6" ht="8.25" customHeight="1" x14ac:dyDescent="0.2">
      <c r="A31" s="90"/>
      <c r="B31" s="90"/>
      <c r="C31" s="90"/>
      <c r="D31" s="90"/>
      <c r="E31" s="100"/>
      <c r="F31" s="145"/>
    </row>
    <row r="32" spans="1:6" ht="12.75" x14ac:dyDescent="0.2">
      <c r="A32" s="103" t="s">
        <v>49</v>
      </c>
      <c r="B32" s="103"/>
      <c r="C32" s="103"/>
      <c r="D32" s="103"/>
      <c r="E32" s="104"/>
      <c r="F32" s="145"/>
    </row>
    <row r="33" spans="1:6" ht="14.1" customHeight="1" x14ac:dyDescent="0.2">
      <c r="A33" s="91" t="s">
        <v>98</v>
      </c>
      <c r="D33" s="139">
        <v>1.7500000000000002E-2</v>
      </c>
      <c r="E33" s="140"/>
      <c r="F33" s="145"/>
    </row>
    <row r="34" spans="1:6" ht="14.1" customHeight="1" x14ac:dyDescent="0.2">
      <c r="A34" s="91" t="s">
        <v>99</v>
      </c>
      <c r="D34" s="137">
        <f>ROUND(D33*D28,2)</f>
        <v>1750</v>
      </c>
      <c r="E34" s="138"/>
      <c r="F34" s="145"/>
    </row>
    <row r="35" spans="1:6" ht="14.1" customHeight="1" x14ac:dyDescent="0.2">
      <c r="A35" s="91" t="s">
        <v>100</v>
      </c>
      <c r="D35" s="123">
        <f>'Pricing Component 1'!B36+'Pricing Component 1'!B37</f>
        <v>3.0100000000000002E-2</v>
      </c>
      <c r="E35" s="124"/>
      <c r="F35" s="145"/>
    </row>
    <row r="36" spans="1:6" ht="7.5" customHeight="1" x14ac:dyDescent="0.2">
      <c r="A36" s="90"/>
      <c r="B36" s="90"/>
      <c r="C36" s="90"/>
      <c r="D36" s="90"/>
      <c r="F36" s="145"/>
    </row>
    <row r="37" spans="1:6" ht="12.75" x14ac:dyDescent="0.2">
      <c r="A37" s="129" t="s">
        <v>89</v>
      </c>
      <c r="B37" s="130"/>
      <c r="C37" s="130"/>
      <c r="D37" s="130"/>
      <c r="E37" s="131"/>
      <c r="F37" s="145"/>
    </row>
    <row r="38" spans="1:6" ht="52.5" customHeight="1" x14ac:dyDescent="0.2">
      <c r="A38" s="125" t="s">
        <v>88</v>
      </c>
      <c r="B38" s="125"/>
      <c r="C38" s="125"/>
      <c r="D38" s="125"/>
      <c r="E38" s="125"/>
      <c r="F38" s="145"/>
    </row>
    <row r="39" spans="1:6" s="108" customFormat="1" ht="14.25" customHeight="1" x14ac:dyDescent="0.2">
      <c r="A39" s="106" t="s">
        <v>50</v>
      </c>
      <c r="B39" s="107" t="s">
        <v>51</v>
      </c>
      <c r="C39" s="107" t="s">
        <v>52</v>
      </c>
      <c r="D39" s="107" t="s">
        <v>53</v>
      </c>
      <c r="E39" s="107" t="s">
        <v>90</v>
      </c>
      <c r="F39" s="145"/>
    </row>
    <row r="40" spans="1:6" ht="12.75" x14ac:dyDescent="0.2">
      <c r="A40" s="109" t="s">
        <v>54</v>
      </c>
      <c r="B40" s="110">
        <v>0</v>
      </c>
      <c r="C40" s="110">
        <v>0</v>
      </c>
      <c r="D40" s="110">
        <v>0</v>
      </c>
      <c r="E40" s="110">
        <v>0</v>
      </c>
      <c r="F40" s="145"/>
    </row>
    <row r="41" spans="1:6" ht="12.75" x14ac:dyDescent="0.2">
      <c r="A41" s="111" t="s">
        <v>9</v>
      </c>
      <c r="B41" s="112">
        <f>D33</f>
        <v>1.7500000000000002E-2</v>
      </c>
      <c r="C41" s="112">
        <v>0</v>
      </c>
      <c r="D41" s="112">
        <v>0</v>
      </c>
      <c r="E41" s="112">
        <f>D41</f>
        <v>0</v>
      </c>
      <c r="F41" s="145"/>
    </row>
    <row r="42" spans="1:6" ht="12.75" x14ac:dyDescent="0.2">
      <c r="A42" s="111" t="s">
        <v>55</v>
      </c>
      <c r="B42" s="112">
        <f>D35</f>
        <v>3.0100000000000002E-2</v>
      </c>
      <c r="C42" s="112">
        <v>0</v>
      </c>
      <c r="D42" s="112">
        <v>0</v>
      </c>
      <c r="E42" s="112">
        <f>D42</f>
        <v>0</v>
      </c>
      <c r="F42" s="145"/>
    </row>
    <row r="43" spans="1:6" ht="15" customHeight="1" x14ac:dyDescent="0.2">
      <c r="A43" s="111" t="s">
        <v>101</v>
      </c>
      <c r="B43" s="112">
        <v>0</v>
      </c>
      <c r="C43" s="112">
        <v>0</v>
      </c>
      <c r="D43" s="112">
        <f>[1]Inputs!D61</f>
        <v>0</v>
      </c>
      <c r="E43" s="112">
        <f>D43</f>
        <v>0</v>
      </c>
      <c r="F43" s="145"/>
    </row>
    <row r="44" spans="1:6" ht="12.75" x14ac:dyDescent="0.2">
      <c r="A44" s="113" t="s">
        <v>56</v>
      </c>
      <c r="B44" s="114">
        <f>SUM(B40:B43)</f>
        <v>4.7600000000000003E-2</v>
      </c>
      <c r="C44" s="114">
        <f>SUM(C40:C43)</f>
        <v>0</v>
      </c>
      <c r="D44" s="114">
        <f>SUM(D40:D43)</f>
        <v>0</v>
      </c>
      <c r="E44" s="114">
        <f>D44</f>
        <v>0</v>
      </c>
      <c r="F44" s="145"/>
    </row>
    <row r="45" spans="1:6" ht="66" customHeight="1" x14ac:dyDescent="0.2">
      <c r="A45" s="128" t="s">
        <v>102</v>
      </c>
      <c r="B45" s="128"/>
      <c r="C45" s="128"/>
      <c r="D45" s="128"/>
      <c r="E45" s="128"/>
      <c r="F45" s="145"/>
    </row>
    <row r="46" spans="1:6" ht="7.5" customHeight="1" x14ac:dyDescent="0.2">
      <c r="A46" s="93"/>
      <c r="B46" s="93"/>
      <c r="C46" s="93"/>
      <c r="D46" s="93"/>
      <c r="E46" s="93"/>
      <c r="F46" s="145"/>
    </row>
    <row r="47" spans="1:6" s="115" customFormat="1" ht="15" customHeight="1" x14ac:dyDescent="0.2">
      <c r="A47" s="132" t="s">
        <v>91</v>
      </c>
      <c r="B47" s="132"/>
      <c r="C47" s="132"/>
      <c r="D47" s="132"/>
      <c r="E47" s="132"/>
      <c r="F47" s="145"/>
    </row>
    <row r="48" spans="1:6" s="115" customFormat="1" ht="4.5" customHeight="1" x14ac:dyDescent="0.2">
      <c r="A48" s="116"/>
      <c r="B48" s="90"/>
      <c r="C48" s="90"/>
      <c r="D48" s="90"/>
      <c r="E48" s="117"/>
      <c r="F48" s="145"/>
    </row>
    <row r="49" spans="1:6" ht="198.75" customHeight="1" x14ac:dyDescent="0.2">
      <c r="A49" s="126" t="s">
        <v>131</v>
      </c>
      <c r="B49" s="127"/>
      <c r="C49" s="127"/>
      <c r="D49" s="127"/>
      <c r="E49" s="127"/>
      <c r="F49" s="145"/>
    </row>
    <row r="50" spans="1:6" ht="12.75" x14ac:dyDescent="0.2">
      <c r="A50" s="103" t="s">
        <v>57</v>
      </c>
      <c r="B50" s="118"/>
      <c r="C50" s="118"/>
      <c r="D50" s="118"/>
      <c r="E50" s="118"/>
      <c r="F50" s="145"/>
    </row>
    <row r="51" spans="1:6" ht="5.25" customHeight="1" x14ac:dyDescent="0.2">
      <c r="F51" s="145"/>
    </row>
    <row r="52" spans="1:6" ht="12.75" x14ac:dyDescent="0.2">
      <c r="A52" s="91" t="s">
        <v>58</v>
      </c>
      <c r="F52" s="145"/>
    </row>
    <row r="53" spans="1:6" ht="7.5" customHeight="1" thickBot="1" x14ac:dyDescent="0.25">
      <c r="F53" s="145"/>
    </row>
    <row r="54" spans="1:6" ht="50.1" customHeight="1" thickBot="1" x14ac:dyDescent="0.25">
      <c r="A54" s="119"/>
      <c r="B54" s="146">
        <f ca="1">TODAY()</f>
        <v>46160</v>
      </c>
      <c r="C54" s="147"/>
      <c r="D54" s="147"/>
      <c r="E54" s="147"/>
      <c r="F54" s="145"/>
    </row>
    <row r="55" spans="1:6" ht="20.100000000000001" customHeight="1" thickBot="1" x14ac:dyDescent="0.25">
      <c r="A55" s="90" t="s">
        <v>92</v>
      </c>
      <c r="F55" s="145"/>
    </row>
    <row r="56" spans="1:6" ht="50.1" customHeight="1" thickBot="1" x14ac:dyDescent="0.25">
      <c r="A56" s="119"/>
      <c r="B56" s="146">
        <f ca="1">TODAY()</f>
        <v>46160</v>
      </c>
      <c r="C56" s="147"/>
      <c r="D56" s="147"/>
      <c r="E56" s="147"/>
      <c r="F56" s="145"/>
    </row>
    <row r="57" spans="1:6" s="91" customFormat="1" ht="20.100000000000001" customHeight="1" x14ac:dyDescent="0.25">
      <c r="A57" s="90" t="s">
        <v>93</v>
      </c>
      <c r="F57" s="145"/>
    </row>
    <row r="58" spans="1:6" ht="14.45" customHeight="1" x14ac:dyDescent="0.2">
      <c r="A58" s="103" t="s">
        <v>59</v>
      </c>
      <c r="B58" s="118"/>
      <c r="C58" s="118"/>
      <c r="D58" s="118"/>
      <c r="E58" s="118"/>
      <c r="F58" s="145"/>
    </row>
    <row r="59" spans="1:6" ht="156.94999999999999" customHeight="1" x14ac:dyDescent="0.2">
      <c r="A59" s="161" t="s">
        <v>84</v>
      </c>
      <c r="B59" s="161"/>
      <c r="C59" s="161"/>
      <c r="D59" s="161"/>
      <c r="E59" s="161"/>
      <c r="F59" s="145"/>
    </row>
    <row r="60" spans="1:6" ht="7.5" customHeight="1" x14ac:dyDescent="0.2">
      <c r="A60" s="120"/>
      <c r="B60" s="120"/>
      <c r="C60" s="120"/>
      <c r="D60" s="120"/>
      <c r="E60" s="120"/>
      <c r="F60" s="145"/>
    </row>
    <row r="61" spans="1:6" s="115" customFormat="1" ht="13.5" customHeight="1" x14ac:dyDescent="0.2">
      <c r="A61" s="121" t="s">
        <v>94</v>
      </c>
      <c r="B61" s="121"/>
      <c r="C61" s="121"/>
      <c r="D61" s="121"/>
      <c r="E61" s="121"/>
      <c r="F61" s="145"/>
    </row>
    <row r="62" spans="1:6" ht="39" customHeight="1" x14ac:dyDescent="0.2">
      <c r="A62" s="161" t="s">
        <v>95</v>
      </c>
      <c r="B62" s="161"/>
      <c r="C62" s="161"/>
      <c r="D62" s="161"/>
      <c r="E62" s="161"/>
      <c r="F62" s="145"/>
    </row>
    <row r="63" spans="1:6" ht="7.5" customHeight="1" x14ac:dyDescent="0.2">
      <c r="A63" s="120"/>
      <c r="B63" s="120"/>
      <c r="C63" s="120"/>
      <c r="D63" s="120"/>
      <c r="E63" s="120"/>
      <c r="F63" s="145"/>
    </row>
    <row r="64" spans="1:6" ht="14.45" customHeight="1" x14ac:dyDescent="0.2"/>
  </sheetData>
  <sheetProtection sheet="1" objects="1" scenarios="1" selectLockedCells="1"/>
  <mergeCells count="27">
    <mergeCell ref="B16:E16"/>
    <mergeCell ref="A22:E22"/>
    <mergeCell ref="F3:F63"/>
    <mergeCell ref="B54:E54"/>
    <mergeCell ref="B56:E56"/>
    <mergeCell ref="D25:E25"/>
    <mergeCell ref="A10:E10"/>
    <mergeCell ref="D23:E23"/>
    <mergeCell ref="D24:E24"/>
    <mergeCell ref="B17:E17"/>
    <mergeCell ref="B18:E18"/>
    <mergeCell ref="B19:E19"/>
    <mergeCell ref="B20:E20"/>
    <mergeCell ref="B15:E15"/>
    <mergeCell ref="A59:E59"/>
    <mergeCell ref="A62:E62"/>
    <mergeCell ref="D28:E28"/>
    <mergeCell ref="D29:E29"/>
    <mergeCell ref="D30:E30"/>
    <mergeCell ref="D33:E33"/>
    <mergeCell ref="D34:E34"/>
    <mergeCell ref="D35:E35"/>
    <mergeCell ref="A38:E38"/>
    <mergeCell ref="A49:E49"/>
    <mergeCell ref="A45:E45"/>
    <mergeCell ref="A37:E37"/>
    <mergeCell ref="A47:E47"/>
  </mergeCells>
  <dataValidations count="1">
    <dataValidation type="decimal" operator="lessThanOrEqual" allowBlank="1" showInputMessage="1" showErrorMessage="1" sqref="D33:E33" xr:uid="{DBFA4696-2C3D-49B2-8617-619851DB9729}">
      <formula1>0.0345</formula1>
    </dataValidation>
  </dataValidations>
  <pageMargins left="0.7" right="0.7" top="0.75" bottom="0.75" header="0.3" footer="0.3"/>
  <pageSetup scale="55" orientation="portrait" r:id="rId1"/>
  <rowBreaks count="1" manualBreakCount="1">
    <brk id="46" max="5" man="1"/>
  </rowBreaks>
  <ignoredErrors>
    <ignoredError sqref="B56"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1B665-6D13-4DB8-A1D9-12F5C14FEBAB}">
  <sheetPr codeName="Sheet3"/>
  <dimension ref="A1:S89"/>
  <sheetViews>
    <sheetView zoomScale="90" zoomScaleNormal="90" workbookViewId="0">
      <selection activeCell="B16" sqref="B16:E16"/>
    </sheetView>
  </sheetViews>
  <sheetFormatPr defaultRowHeight="15" x14ac:dyDescent="0.25"/>
  <cols>
    <col min="1" max="1" width="40.28515625" customWidth="1"/>
    <col min="2" max="2" width="17.42578125" customWidth="1"/>
    <col min="3" max="3" width="19.42578125" customWidth="1"/>
    <col min="4" max="4" width="21.140625" bestFit="1" customWidth="1"/>
    <col min="5" max="5" width="8.7109375" customWidth="1"/>
    <col min="6" max="6" width="12.28515625" customWidth="1"/>
    <col min="7" max="7" width="11.5703125" bestFit="1" customWidth="1"/>
    <col min="8" max="9" width="10.5703125" bestFit="1" customWidth="1"/>
    <col min="10" max="10" width="8.7109375" customWidth="1"/>
    <col min="12" max="13" width="11.5703125" bestFit="1" customWidth="1"/>
    <col min="14" max="15" width="10.5703125" bestFit="1" customWidth="1"/>
    <col min="18" max="18" width="14.28515625" style="4" bestFit="1" customWidth="1"/>
    <col min="19" max="19" width="13.140625" style="4" bestFit="1" customWidth="1"/>
  </cols>
  <sheetData>
    <row r="1" spans="1:19" x14ac:dyDescent="0.25">
      <c r="E1" s="162" t="s">
        <v>72</v>
      </c>
      <c r="F1" s="162"/>
      <c r="G1" s="162"/>
      <c r="H1" s="162"/>
      <c r="I1" s="162"/>
      <c r="K1" s="162" t="s">
        <v>77</v>
      </c>
      <c r="L1" s="162"/>
      <c r="M1" s="162"/>
      <c r="N1" s="162"/>
      <c r="O1" s="162"/>
      <c r="Q1" s="162" t="s">
        <v>114</v>
      </c>
      <c r="R1" s="162"/>
      <c r="S1" s="162"/>
    </row>
    <row r="2" spans="1:19" ht="15.75" thickBot="1" x14ac:dyDescent="0.3"/>
    <row r="3" spans="1:19" x14ac:dyDescent="0.25">
      <c r="A3" s="55" t="s">
        <v>34</v>
      </c>
      <c r="B3" s="39"/>
      <c r="C3" s="63">
        <f>'Quote ALFIGP'!D28</f>
        <v>100000</v>
      </c>
      <c r="E3" s="72" t="s">
        <v>16</v>
      </c>
      <c r="F3" s="72" t="s">
        <v>17</v>
      </c>
      <c r="G3" s="72" t="s">
        <v>18</v>
      </c>
      <c r="H3" s="72" t="s">
        <v>19</v>
      </c>
      <c r="I3" s="72" t="s">
        <v>20</v>
      </c>
      <c r="K3" s="72" t="s">
        <v>16</v>
      </c>
      <c r="L3" s="72" t="s">
        <v>17</v>
      </c>
      <c r="M3" s="72" t="s">
        <v>18</v>
      </c>
      <c r="N3" s="72" t="s">
        <v>19</v>
      </c>
      <c r="O3" s="72" t="s">
        <v>20</v>
      </c>
      <c r="Q3" s="72" t="s">
        <v>16</v>
      </c>
      <c r="R3" s="72" t="s">
        <v>17</v>
      </c>
      <c r="S3" s="72" t="s">
        <v>18</v>
      </c>
    </row>
    <row r="4" spans="1:19" x14ac:dyDescent="0.25">
      <c r="A4" s="44"/>
      <c r="C4" s="41"/>
      <c r="D4" s="1"/>
      <c r="E4">
        <v>0</v>
      </c>
      <c r="F4" s="4">
        <f>B46</f>
        <v>95240</v>
      </c>
      <c r="G4" s="4"/>
      <c r="H4" s="4"/>
      <c r="K4">
        <v>0</v>
      </c>
      <c r="L4" s="4">
        <f>C46</f>
        <v>95240</v>
      </c>
      <c r="M4" s="4"/>
      <c r="N4" s="4"/>
      <c r="Q4">
        <v>0</v>
      </c>
      <c r="R4" s="4">
        <f>C61</f>
        <v>77166.259387926868</v>
      </c>
    </row>
    <row r="5" spans="1:19" x14ac:dyDescent="0.25">
      <c r="A5" s="9" t="s">
        <v>42</v>
      </c>
      <c r="B5" s="64">
        <f>'Quote ALFIGP'!D33</f>
        <v>1.7500000000000002E-2</v>
      </c>
      <c r="C5" s="45">
        <f>C3*B5</f>
        <v>1750.0000000000002</v>
      </c>
      <c r="E5">
        <v>1</v>
      </c>
      <c r="F5" s="4">
        <f>IF('Pricing Component 1'!$B$25*12&gt;=E5,F4+G5,0)</f>
        <v>95918.87373350549</v>
      </c>
      <c r="G5" s="4">
        <f t="shared" ref="G5:G36" si="0">IF($B$11*12&gt;=E5,F4*($B$15-1),0)</f>
        <v>678.87373350548933</v>
      </c>
      <c r="H5" s="4">
        <f t="shared" ref="H5:H36" si="1">G5*$B$75</f>
        <v>203.66212005164678</v>
      </c>
      <c r="I5" s="1">
        <f>H5*(1+rfr)^(-E5/12)</f>
        <v>202.8357421304591</v>
      </c>
      <c r="K5">
        <v>1</v>
      </c>
      <c r="L5" s="4">
        <f>IF('Pricing Component 1'!$B$25*12&gt;=K5,L4+M5,0)</f>
        <v>95883.350102111537</v>
      </c>
      <c r="M5" s="4">
        <f t="shared" ref="M5:M36" si="2">IF($B$11*12&gt;=K5,L4*($B$22-1),0)</f>
        <v>643.35010211153701</v>
      </c>
      <c r="N5" s="4">
        <f t="shared" ref="N5:N36" si="3">M5*$B$75</f>
        <v>193.0050306334611</v>
      </c>
      <c r="O5" s="1">
        <f>N5*(1+rfr)^(-K5/12)</f>
        <v>192.22189483995567</v>
      </c>
      <c r="Q5">
        <v>1</v>
      </c>
      <c r="R5" s="4">
        <f>IF('Pricing Component 1'!$B$25*12&gt;=Q5,R4+S5,0)</f>
        <v>77603.289293797323</v>
      </c>
      <c r="S5" s="4">
        <f>IF($B$11*12&gt;=Q5,R4*($C$29-1),0)</f>
        <v>437.02990587046082</v>
      </c>
    </row>
    <row r="6" spans="1:19" x14ac:dyDescent="0.25">
      <c r="A6" s="9"/>
      <c r="C6" s="41"/>
      <c r="E6">
        <v>2</v>
      </c>
      <c r="F6" s="4">
        <f>IF('Pricing Component 1'!$B$25*12&gt;=E6,F5+G6,0)</f>
        <v>96602.586500463774</v>
      </c>
      <c r="G6" s="4">
        <f t="shared" si="0"/>
        <v>683.71276695827896</v>
      </c>
      <c r="H6" s="4">
        <f t="shared" si="1"/>
        <v>205.11383008748368</v>
      </c>
      <c r="I6" s="1">
        <f t="shared" ref="I6:I36" si="4">H6*(1+rfr)^(-E6/12)</f>
        <v>203.4526703551854</v>
      </c>
      <c r="K6">
        <v>2</v>
      </c>
      <c r="L6" s="4">
        <f>IF('Pricing Component 1'!$B$25*12&gt;=K6,L5+M6,0)</f>
        <v>96531.046060521767</v>
      </c>
      <c r="M6" s="4">
        <f t="shared" si="2"/>
        <v>647.69595841022374</v>
      </c>
      <c r="N6" s="4">
        <f t="shared" si="3"/>
        <v>194.30878752306711</v>
      </c>
      <c r="O6" s="1">
        <f t="shared" ref="O6:O69" si="5">N6*(1+rfr)^(-K6/12)</f>
        <v>192.73513481848181</v>
      </c>
      <c r="Q6">
        <v>2</v>
      </c>
      <c r="R6" s="4">
        <f>IF('Pricing Component 1'!$B$25*12&gt;=Q6,R5+S6,0)</f>
        <v>78042.794311719859</v>
      </c>
      <c r="S6" s="4">
        <f>IF($B$11*12&gt;=Q6,R5*($C$29-1),0)</f>
        <v>439.50501792254283</v>
      </c>
    </row>
    <row r="7" spans="1:19" ht="15.75" thickBot="1" x14ac:dyDescent="0.3">
      <c r="A7" s="46" t="s">
        <v>43</v>
      </c>
      <c r="B7" s="47"/>
      <c r="C7" s="48">
        <f>C3-C5</f>
        <v>98250</v>
      </c>
      <c r="E7">
        <v>3</v>
      </c>
      <c r="F7" s="4">
        <f>IF('Pricing Component 1'!$B$25*12&gt;=E7,F6+G7,0)</f>
        <v>97291.172793658407</v>
      </c>
      <c r="G7" s="4">
        <f t="shared" si="0"/>
        <v>688.58629319463273</v>
      </c>
      <c r="H7" s="4">
        <f t="shared" si="1"/>
        <v>206.57588795838981</v>
      </c>
      <c r="I7" s="1">
        <f t="shared" si="4"/>
        <v>204.07147497718992</v>
      </c>
      <c r="K7">
        <v>3</v>
      </c>
      <c r="L7" s="4">
        <f>IF('Pricing Component 1'!$B$25*12&gt;=K7,L6+M7,0)</f>
        <v>97183.117231668031</v>
      </c>
      <c r="M7" s="4">
        <f t="shared" si="2"/>
        <v>652.07117114626374</v>
      </c>
      <c r="N7" s="4">
        <f t="shared" si="3"/>
        <v>195.62135134387913</v>
      </c>
      <c r="O7" s="1">
        <f t="shared" si="5"/>
        <v>193.24974516782746</v>
      </c>
      <c r="Q7">
        <v>3</v>
      </c>
      <c r="R7" s="4">
        <f>IF('Pricing Component 1'!$B$25*12&gt;=Q7,R6+S7,0)</f>
        <v>78484.788459452961</v>
      </c>
      <c r="S7" s="4">
        <f t="shared" ref="S7:S70" si="6">IF($B$11*12&gt;=Q7,R6*($C$29-1),0)</f>
        <v>441.99414773310781</v>
      </c>
    </row>
    <row r="8" spans="1:19" ht="15.75" thickBot="1" x14ac:dyDescent="0.3">
      <c r="E8">
        <v>4</v>
      </c>
      <c r="F8" s="4">
        <f>IF('Pricing Component 1'!$B$25*12&gt;=E8,F7+G8,0)</f>
        <v>97984.667351738608</v>
      </c>
      <c r="G8" s="4">
        <f t="shared" si="0"/>
        <v>693.49455808020343</v>
      </c>
      <c r="H8" s="4">
        <f t="shared" si="1"/>
        <v>208.04836742406101</v>
      </c>
      <c r="I8" s="1">
        <f t="shared" si="4"/>
        <v>204.69216170356566</v>
      </c>
      <c r="K8">
        <v>4</v>
      </c>
      <c r="L8" s="4">
        <f>IF('Pricing Component 1'!$B$25*12&gt;=K8,L7+M8,0)</f>
        <v>97839.593170291628</v>
      </c>
      <c r="M8" s="4">
        <f t="shared" si="2"/>
        <v>656.47593862359406</v>
      </c>
      <c r="N8" s="4">
        <f t="shared" si="3"/>
        <v>196.9427815870782</v>
      </c>
      <c r="O8" s="1">
        <f t="shared" si="5"/>
        <v>193.76572954693623</v>
      </c>
      <c r="Q8">
        <v>4</v>
      </c>
      <c r="R8" s="4">
        <f>IF('Pricing Component 1'!$B$25*12&gt;=Q8,R7+S8,0)</f>
        <v>78929.285834144466</v>
      </c>
      <c r="S8" s="4">
        <f t="shared" si="6"/>
        <v>444.49737469151233</v>
      </c>
    </row>
    <row r="9" spans="1:19" x14ac:dyDescent="0.25">
      <c r="A9" s="55" t="s">
        <v>72</v>
      </c>
      <c r="B9" s="39"/>
      <c r="C9" s="49"/>
      <c r="E9">
        <v>5</v>
      </c>
      <c r="F9" s="4">
        <f>IF('Pricing Component 1'!$B$25*12&gt;=E9,F8+G9,0)</f>
        <v>98683.105160971783</v>
      </c>
      <c r="G9" s="4">
        <f t="shared" si="0"/>
        <v>698.43780923318161</v>
      </c>
      <c r="H9" s="4">
        <f t="shared" si="1"/>
        <v>209.53134276995448</v>
      </c>
      <c r="I9" s="1">
        <f t="shared" si="4"/>
        <v>205.31473625876384</v>
      </c>
      <c r="K9">
        <v>5</v>
      </c>
      <c r="L9" s="4">
        <f>IF('Pricing Component 1'!$B$25*12&gt;=K9,L8+M9,0)</f>
        <v>98500.503630777326</v>
      </c>
      <c r="M9" s="4">
        <f t="shared" si="2"/>
        <v>660.91046048570297</v>
      </c>
      <c r="N9" s="4">
        <f t="shared" si="3"/>
        <v>198.27313814571087</v>
      </c>
      <c r="O9" s="1">
        <f t="shared" si="5"/>
        <v>194.28309162452146</v>
      </c>
      <c r="Q9">
        <v>5</v>
      </c>
      <c r="R9" s="4">
        <f>IF('Pricing Component 1'!$B$25*12&gt;=Q9,R8+S9,0)</f>
        <v>79376.300612781197</v>
      </c>
      <c r="S9" s="4">
        <f t="shared" si="6"/>
        <v>447.01477863673307</v>
      </c>
    </row>
    <row r="10" spans="1:19" x14ac:dyDescent="0.25">
      <c r="A10" s="9"/>
      <c r="C10" s="41"/>
      <c r="E10">
        <v>6</v>
      </c>
      <c r="F10" s="4">
        <f>IF('Pricing Component 1'!$B$25*12&gt;=E10,F9+G10,0)</f>
        <v>99386.521457008566</v>
      </c>
      <c r="G10" s="4">
        <f t="shared" si="0"/>
        <v>703.41629603678848</v>
      </c>
      <c r="H10" s="4">
        <f t="shared" si="1"/>
        <v>211.02488881103653</v>
      </c>
      <c r="I10" s="1">
        <f t="shared" si="4"/>
        <v>205.93920438464664</v>
      </c>
      <c r="K10">
        <v>6</v>
      </c>
      <c r="L10" s="4">
        <f>IF('Pricing Component 1'!$B$25*12&gt;=K10,L9+M10,0)</f>
        <v>99165.878568502012</v>
      </c>
      <c r="M10" s="4">
        <f t="shared" si="2"/>
        <v>665.37493772467883</v>
      </c>
      <c r="N10" s="4">
        <f t="shared" si="3"/>
        <v>199.61248131740365</v>
      </c>
      <c r="O10" s="1">
        <f t="shared" si="5"/>
        <v>194.80183507909192</v>
      </c>
      <c r="Q10">
        <v>6</v>
      </c>
      <c r="R10" s="4">
        <f>IF('Pricing Component 1'!$B$25*12&gt;=Q10,R9+S10,0)</f>
        <v>79825.847052641111</v>
      </c>
      <c r="S10" s="4">
        <f t="shared" si="6"/>
        <v>449.54643985991373</v>
      </c>
    </row>
    <row r="11" spans="1:19" x14ac:dyDescent="0.25">
      <c r="A11" s="9" t="s">
        <v>76</v>
      </c>
      <c r="B11" s="50">
        <v>7</v>
      </c>
      <c r="C11" s="41"/>
      <c r="E11">
        <v>7</v>
      </c>
      <c r="F11" s="4">
        <f>IF('Pricing Component 1'!$B$25*12&gt;=E11,F10+G11,0)</f>
        <v>100094.95172666042</v>
      </c>
      <c r="G11" s="4">
        <f t="shared" si="0"/>
        <v>708.43026965185675</v>
      </c>
      <c r="H11" s="4">
        <f t="shared" si="1"/>
        <v>212.52908089555703</v>
      </c>
      <c r="I11" s="1">
        <f t="shared" si="4"/>
        <v>206.56557184054034</v>
      </c>
      <c r="K11">
        <v>7</v>
      </c>
      <c r="L11" s="4">
        <f>IF('Pricing Component 1'!$B$25*12&gt;=K11,L10+M11,0)</f>
        <v>99835.748141192336</v>
      </c>
      <c r="M11" s="4">
        <f t="shared" si="2"/>
        <v>669.86957269031973</v>
      </c>
      <c r="N11" s="4">
        <f t="shared" si="3"/>
        <v>200.96087180709591</v>
      </c>
      <c r="O11" s="1">
        <f t="shared" si="5"/>
        <v>195.32196359897824</v>
      </c>
      <c r="Q11">
        <v>7</v>
      </c>
      <c r="R11" s="4">
        <f>IF('Pricing Component 1'!$B$25*12&gt;=Q11,R10+S11,0)</f>
        <v>80277.939491748039</v>
      </c>
      <c r="S11" s="4">
        <f t="shared" si="6"/>
        <v>452.09243910692555</v>
      </c>
    </row>
    <row r="12" spans="1:19" x14ac:dyDescent="0.25">
      <c r="A12" s="9" t="s">
        <v>62</v>
      </c>
      <c r="B12" s="70">
        <v>0.11656999999999999</v>
      </c>
      <c r="C12" s="41"/>
      <c r="E12">
        <v>8</v>
      </c>
      <c r="F12" s="4">
        <f>IF('Pricing Component 1'!$B$25*12&gt;=E12,F11+G12,0)</f>
        <v>100808.43170968992</v>
      </c>
      <c r="G12" s="4">
        <f t="shared" si="0"/>
        <v>713.47998302950111</v>
      </c>
      <c r="H12" s="4">
        <f t="shared" si="1"/>
        <v>214.04399490885032</v>
      </c>
      <c r="I12" s="1">
        <f t="shared" si="4"/>
        <v>207.19384440328807</v>
      </c>
      <c r="K12">
        <v>8</v>
      </c>
      <c r="L12" s="4">
        <f>IF('Pricing Component 1'!$B$25*12&gt;=K12,L11+M12,0)</f>
        <v>100510.14271029164</v>
      </c>
      <c r="M12" s="4">
        <f t="shared" si="2"/>
        <v>674.3945690993047</v>
      </c>
      <c r="N12" s="4">
        <f t="shared" si="3"/>
        <v>202.31837072979141</v>
      </c>
      <c r="O12" s="1">
        <f t="shared" si="5"/>
        <v>195.8434808823589</v>
      </c>
      <c r="Q12">
        <v>8</v>
      </c>
      <c r="R12" s="4">
        <f>IF('Pricing Component 1'!$B$25*12&gt;=Q12,R11+S12,0)</f>
        <v>80732.592349328988</v>
      </c>
      <c r="S12" s="4">
        <f t="shared" si="6"/>
        <v>454.65285758094268</v>
      </c>
    </row>
    <row r="13" spans="1:19" x14ac:dyDescent="0.25">
      <c r="A13" s="9" t="s">
        <v>63</v>
      </c>
      <c r="B13" s="71">
        <f>B11*B12</f>
        <v>0.81598999999999999</v>
      </c>
      <c r="C13" s="41"/>
      <c r="E13">
        <v>9</v>
      </c>
      <c r="F13" s="4">
        <f>IF('Pricing Component 1'!$B$25*12&gt;=E13,F12+G13,0)</f>
        <v>101526.99740061379</v>
      </c>
      <c r="G13" s="4">
        <f t="shared" si="0"/>
        <v>718.5656909238802</v>
      </c>
      <c r="H13" s="4">
        <f t="shared" si="1"/>
        <v>215.56970727716404</v>
      </c>
      <c r="I13" s="1">
        <f t="shared" si="4"/>
        <v>207.82402786730361</v>
      </c>
      <c r="K13">
        <v>9</v>
      </c>
      <c r="L13" s="4">
        <f>IF('Pricing Component 1'!$B$25*12&gt;=K13,L12+M13,0)</f>
        <v>101189.09284233606</v>
      </c>
      <c r="M13" s="4">
        <f t="shared" si="2"/>
        <v>678.95013204442751</v>
      </c>
      <c r="N13" s="4">
        <f t="shared" si="3"/>
        <v>203.68503961332826</v>
      </c>
      <c r="O13" s="1">
        <f t="shared" si="5"/>
        <v>196.36639063728683</v>
      </c>
      <c r="Q13">
        <v>9</v>
      </c>
      <c r="R13" s="4">
        <f>IF('Pricing Component 1'!$B$25*12&gt;=Q13,R12+S13,0)</f>
        <v>81189.820126274019</v>
      </c>
      <c r="S13" s="4">
        <f t="shared" si="6"/>
        <v>457.22777694503236</v>
      </c>
    </row>
    <row r="14" spans="1:19" x14ac:dyDescent="0.25">
      <c r="A14" s="9" t="s">
        <v>10</v>
      </c>
      <c r="B14" s="57">
        <f>(1+B13)^(1/B11)-1</f>
        <v>8.8970732102646499E-2</v>
      </c>
      <c r="C14" s="41"/>
      <c r="E14">
        <v>10</v>
      </c>
      <c r="F14" s="4">
        <f>IF('Pricing Component 1'!$B$25*12&gt;=E14,F13+G14,0)</f>
        <v>102250.68505051883</v>
      </c>
      <c r="G14" s="4">
        <f t="shared" si="0"/>
        <v>723.68764990504826</v>
      </c>
      <c r="H14" s="4">
        <f t="shared" si="1"/>
        <v>217.10629497151447</v>
      </c>
      <c r="I14" s="1">
        <f t="shared" si="4"/>
        <v>208.45612804462428</v>
      </c>
      <c r="K14">
        <v>10</v>
      </c>
      <c r="L14" s="4">
        <f>IF('Pricing Component 1'!$B$25*12&gt;=K14,L13+M14,0)</f>
        <v>101872.62931033995</v>
      </c>
      <c r="M14" s="4">
        <f t="shared" si="2"/>
        <v>683.53646800389231</v>
      </c>
      <c r="N14" s="4">
        <f t="shared" si="3"/>
        <v>205.0609404011677</v>
      </c>
      <c r="O14" s="1">
        <f t="shared" si="5"/>
        <v>196.8906965817155</v>
      </c>
      <c r="Q14">
        <v>10</v>
      </c>
      <c r="R14" s="4">
        <f>IF('Pricing Component 1'!$B$25*12&gt;=Q14,R13+S14,0)</f>
        <v>81649.637405598784</v>
      </c>
      <c r="S14" s="4">
        <f t="shared" si="6"/>
        <v>459.81727932475911</v>
      </c>
    </row>
    <row r="15" spans="1:19" ht="15.75" thickBot="1" x14ac:dyDescent="0.3">
      <c r="A15" s="10" t="s">
        <v>13</v>
      </c>
      <c r="B15" s="52">
        <f>(1+B14)^(1/12)</f>
        <v>1.0071280316411748</v>
      </c>
      <c r="C15" s="43"/>
      <c r="E15">
        <v>11</v>
      </c>
      <c r="F15" s="4">
        <f>IF('Pricing Component 1'!$B$25*12&gt;=E15,F14+G15,0)</f>
        <v>102979.53116889074</v>
      </c>
      <c r="G15" s="4">
        <f t="shared" si="0"/>
        <v>728.8461183718988</v>
      </c>
      <c r="H15" s="4">
        <f t="shared" si="1"/>
        <v>218.65383551156964</v>
      </c>
      <c r="I15" s="1">
        <f t="shared" si="4"/>
        <v>209.09015076496499</v>
      </c>
      <c r="K15">
        <v>11</v>
      </c>
      <c r="L15" s="4">
        <f>IF('Pricing Component 1'!$B$25*12&gt;=K15,L14+M15,0)</f>
        <v>102560.78309519062</v>
      </c>
      <c r="M15" s="4">
        <f t="shared" si="2"/>
        <v>688.15378485067163</v>
      </c>
      <c r="N15" s="4">
        <f t="shared" si="3"/>
        <v>206.44613545520147</v>
      </c>
      <c r="O15" s="1">
        <f t="shared" si="5"/>
        <v>197.4164024435255</v>
      </c>
      <c r="Q15">
        <v>11</v>
      </c>
      <c r="R15" s="4">
        <f>IF('Pricing Component 1'!$B$25*12&gt;=Q15,R14+S15,0)</f>
        <v>82112.058852909584</v>
      </c>
      <c r="S15" s="4">
        <f t="shared" si="6"/>
        <v>462.42144731080447</v>
      </c>
    </row>
    <row r="16" spans="1:19" ht="14.45" customHeight="1" thickBot="1" x14ac:dyDescent="0.3">
      <c r="E16">
        <v>12</v>
      </c>
      <c r="F16" s="4">
        <f>IF('Pricing Component 1'!$B$25*12&gt;=E16,F15+G16,0)</f>
        <v>103713.57252545594</v>
      </c>
      <c r="G16" s="4">
        <f t="shared" si="0"/>
        <v>734.04135656520123</v>
      </c>
      <c r="H16" s="4">
        <f t="shared" si="1"/>
        <v>220.21240696956036</v>
      </c>
      <c r="I16" s="1">
        <f t="shared" si="4"/>
        <v>209.72610187577177</v>
      </c>
      <c r="K16">
        <v>12</v>
      </c>
      <c r="L16" s="4">
        <f>IF('Pricing Component 1'!$B$25*12&gt;=K16,L15+M16,0)</f>
        <v>103253.58538705255</v>
      </c>
      <c r="M16" s="4">
        <f t="shared" si="2"/>
        <v>692.80229186192867</v>
      </c>
      <c r="N16" s="4">
        <f t="shared" si="3"/>
        <v>207.84068755857859</v>
      </c>
      <c r="O16" s="1">
        <f t="shared" si="5"/>
        <v>197.94351196055104</v>
      </c>
      <c r="Q16">
        <v>12</v>
      </c>
      <c r="R16" s="4">
        <f>IF('Pricing Component 1'!$B$25*12&gt;=Q16,R15+S16,0)</f>
        <v>82577.099216871182</v>
      </c>
      <c r="S16" s="4">
        <f t="shared" si="6"/>
        <v>465.04036396160097</v>
      </c>
    </row>
    <row r="17" spans="1:19" x14ac:dyDescent="0.25">
      <c r="A17" s="55" t="s">
        <v>73</v>
      </c>
      <c r="B17" s="39"/>
      <c r="C17" s="49"/>
      <c r="E17">
        <v>13</v>
      </c>
      <c r="F17" s="4">
        <f>IF('Pricing Component 1'!$B$25*12&gt;=E17,F16+G17,0)</f>
        <v>104452.84615203667</v>
      </c>
      <c r="G17" s="4">
        <f t="shared" si="0"/>
        <v>739.27362658072889</v>
      </c>
      <c r="H17" s="4">
        <f t="shared" si="1"/>
        <v>221.78208797421865</v>
      </c>
      <c r="I17" s="1">
        <f t="shared" si="4"/>
        <v>210.36398724227567</v>
      </c>
      <c r="K17">
        <v>13</v>
      </c>
      <c r="L17" s="4">
        <f>IF('Pricing Component 1'!$B$25*12&gt;=K17,L16+M17,0)</f>
        <v>103951.06758678105</v>
      </c>
      <c r="M17" s="4">
        <f t="shared" si="2"/>
        <v>697.48219972850234</v>
      </c>
      <c r="N17" s="4">
        <f t="shared" si="3"/>
        <v>209.2446599185507</v>
      </c>
      <c r="O17" s="1">
        <f t="shared" si="5"/>
        <v>198.47202888060636</v>
      </c>
      <c r="Q17">
        <v>13</v>
      </c>
      <c r="R17" s="4">
        <f>IF('Pricing Component 1'!$B$25*12&gt;=Q17,R16+S17,0)</f>
        <v>83044.773329677162</v>
      </c>
      <c r="S17" s="4">
        <f t="shared" si="6"/>
        <v>467.67411280598122</v>
      </c>
    </row>
    <row r="18" spans="1:19" x14ac:dyDescent="0.25">
      <c r="A18" s="9" t="s">
        <v>76</v>
      </c>
      <c r="B18">
        <f>B11</f>
        <v>7</v>
      </c>
      <c r="C18" s="41"/>
      <c r="E18">
        <v>14</v>
      </c>
      <c r="F18" s="4">
        <f>IF('Pricing Component 1'!$B$25*12&gt;=E18,F17+G18,0)</f>
        <v>105197.38934441915</v>
      </c>
      <c r="G18" s="4">
        <f t="shared" si="0"/>
        <v>744.5431923824824</v>
      </c>
      <c r="H18" s="4">
        <f t="shared" si="1"/>
        <v>223.36295771474471</v>
      </c>
      <c r="I18" s="1">
        <f t="shared" si="4"/>
        <v>211.00381274754707</v>
      </c>
      <c r="K18">
        <v>14</v>
      </c>
      <c r="L18" s="4">
        <f>IF('Pricing Component 1'!$B$25*12&gt;=K18,L17+M18,0)</f>
        <v>104653.2613073455</v>
      </c>
      <c r="M18" s="4">
        <f t="shared" si="2"/>
        <v>702.19372056445684</v>
      </c>
      <c r="N18" s="4">
        <f t="shared" si="3"/>
        <v>210.65811616933703</v>
      </c>
      <c r="O18" s="1">
        <f t="shared" si="5"/>
        <v>199.00195696151272</v>
      </c>
      <c r="Q18">
        <v>14</v>
      </c>
      <c r="R18" s="4">
        <f>IF('Pricing Component 1'!$B$25*12&gt;=Q18,R17+S18,0)</f>
        <v>83515.096107523001</v>
      </c>
      <c r="S18" s="4">
        <f t="shared" si="6"/>
        <v>470.32277784584227</v>
      </c>
    </row>
    <row r="19" spans="1:19" x14ac:dyDescent="0.25">
      <c r="A19" s="9" t="s">
        <v>62</v>
      </c>
      <c r="B19" s="71">
        <f>B67</f>
        <v>0.10862215572518925</v>
      </c>
      <c r="C19" s="41"/>
      <c r="E19">
        <v>15</v>
      </c>
      <c r="F19" s="4">
        <f>IF('Pricing Component 1'!$B$25*12&gt;=E19,F18+G19,0)</f>
        <v>105947.23966423515</v>
      </c>
      <c r="G19" s="4">
        <f t="shared" si="0"/>
        <v>749.85031981600594</v>
      </c>
      <c r="H19" s="4">
        <f t="shared" si="1"/>
        <v>224.95509594480177</v>
      </c>
      <c r="I19" s="1">
        <f t="shared" si="4"/>
        <v>211.64558429254964</v>
      </c>
      <c r="K19">
        <v>15</v>
      </c>
      <c r="L19" s="4">
        <f>IF('Pricing Component 1'!$B$25*12&gt;=K19,L18+M19,0)</f>
        <v>105360.19837526219</v>
      </c>
      <c r="M19" s="4">
        <f t="shared" si="2"/>
        <v>706.93706791669558</v>
      </c>
      <c r="N19" s="4">
        <f t="shared" si="3"/>
        <v>212.08112037500868</v>
      </c>
      <c r="O19" s="1">
        <f t="shared" si="5"/>
        <v>199.53329997112471</v>
      </c>
      <c r="Q19">
        <v>15</v>
      </c>
      <c r="R19" s="4">
        <f>IF('Pricing Component 1'!$B$25*12&gt;=Q19,R18+S19,0)</f>
        <v>83988.082551081825</v>
      </c>
      <c r="S19" s="4">
        <f t="shared" si="6"/>
        <v>472.98644355882431</v>
      </c>
    </row>
    <row r="20" spans="1:19" x14ac:dyDescent="0.25">
      <c r="A20" s="9" t="s">
        <v>63</v>
      </c>
      <c r="B20" s="71">
        <f>B18*B19</f>
        <v>0.76035509007632474</v>
      </c>
      <c r="C20" s="41"/>
      <c r="E20">
        <v>16</v>
      </c>
      <c r="F20" s="4">
        <f>IF('Pricing Component 1'!$B$25*12&gt;=E20,F19+G20,0)</f>
        <v>106702.43494085695</v>
      </c>
      <c r="G20" s="4">
        <f t="shared" si="0"/>
        <v>755.19527662179951</v>
      </c>
      <c r="H20" s="4">
        <f t="shared" si="1"/>
        <v>226.55858298653985</v>
      </c>
      <c r="I20" s="1">
        <f t="shared" si="4"/>
        <v>212.2893077961952</v>
      </c>
      <c r="K20">
        <v>16</v>
      </c>
      <c r="L20" s="4">
        <f>IF('Pricing Component 1'!$B$25*12&gt;=K20,L19+M20,0)</f>
        <v>106071.91083203683</v>
      </c>
      <c r="M20" s="4">
        <f t="shared" si="2"/>
        <v>711.71245677464003</v>
      </c>
      <c r="N20" s="4">
        <f t="shared" si="3"/>
        <v>213.51373703239202</v>
      </c>
      <c r="O20" s="1">
        <f t="shared" si="5"/>
        <v>200.06606168735735</v>
      </c>
      <c r="Q20">
        <v>16</v>
      </c>
      <c r="R20" s="4">
        <f>IF('Pricing Component 1'!$B$25*12&gt;=Q20,R19+S20,0)</f>
        <v>84463.747745982837</v>
      </c>
      <c r="S20" s="4">
        <f t="shared" si="6"/>
        <v>475.66519490100558</v>
      </c>
    </row>
    <row r="21" spans="1:19" x14ac:dyDescent="0.25">
      <c r="A21" s="9" t="s">
        <v>10</v>
      </c>
      <c r="B21" s="57">
        <f>(1+B20)^(1/B18)-1</f>
        <v>8.4140963744775421E-2</v>
      </c>
      <c r="C21" s="41"/>
      <c r="E21">
        <v>17</v>
      </c>
      <c r="F21" s="4">
        <f>IF('Pricing Component 1'!$B$25*12&gt;=E21,F20+G21,0)</f>
        <v>107463.01327330578</v>
      </c>
      <c r="G21" s="4">
        <f t="shared" si="0"/>
        <v>760.57833244882545</v>
      </c>
      <c r="H21" s="4">
        <f t="shared" si="1"/>
        <v>228.17349973464763</v>
      </c>
      <c r="I21" s="1">
        <f t="shared" si="4"/>
        <v>212.93498919539769</v>
      </c>
      <c r="K21">
        <v>17</v>
      </c>
      <c r="L21" s="4">
        <f>IF('Pricing Component 1'!$B$25*12&gt;=K21,L20+M21,0)</f>
        <v>106788.43093561679</v>
      </c>
      <c r="M21" s="4">
        <f t="shared" si="2"/>
        <v>716.52010357997415</v>
      </c>
      <c r="N21" s="4">
        <f t="shared" si="3"/>
        <v>214.95603107399225</v>
      </c>
      <c r="O21" s="1">
        <f t="shared" si="5"/>
        <v>200.60024589821282</v>
      </c>
      <c r="Q21">
        <v>17</v>
      </c>
      <c r="R21" s="4">
        <f>IF('Pricing Component 1'!$B$25*12&gt;=Q21,R20+S21,0)</f>
        <v>84942.106863292443</v>
      </c>
      <c r="S21" s="4">
        <f t="shared" si="6"/>
        <v>478.35911730961163</v>
      </c>
    </row>
    <row r="22" spans="1:19" ht="15.75" thickBot="1" x14ac:dyDescent="0.3">
      <c r="A22" s="10" t="s">
        <v>13</v>
      </c>
      <c r="B22" s="52">
        <f>(1+B21)^(1/12)</f>
        <v>1.0067550409713517</v>
      </c>
      <c r="C22" s="43"/>
      <c r="E22">
        <v>18</v>
      </c>
      <c r="F22" s="4">
        <f>IF('Pricing Component 1'!$B$25*12&gt;=E22,F21+G22,0)</f>
        <v>108229.0130321739</v>
      </c>
      <c r="G22" s="4">
        <f t="shared" si="0"/>
        <v>765.99975886811274</v>
      </c>
      <c r="H22" s="4">
        <f t="shared" si="1"/>
        <v>229.79992766043381</v>
      </c>
      <c r="I22" s="1">
        <f t="shared" si="4"/>
        <v>213.58263444512858</v>
      </c>
      <c r="K22">
        <v>18</v>
      </c>
      <c r="L22" s="4">
        <f>IF('Pricing Component 1'!$B$25*12&gt;=K22,L21+M22,0)</f>
        <v>107509.79116185325</v>
      </c>
      <c r="M22" s="4">
        <f t="shared" si="2"/>
        <v>721.36022623645397</v>
      </c>
      <c r="N22" s="4">
        <f t="shared" si="3"/>
        <v>216.40806787093618</v>
      </c>
      <c r="O22" s="1">
        <f t="shared" si="5"/>
        <v>201.13585640180739</v>
      </c>
      <c r="Q22">
        <v>18</v>
      </c>
      <c r="R22" s="4">
        <f>IF('Pricing Component 1'!$B$25*12&gt;=Q22,R21+S22,0)</f>
        <v>85423.17515999818</v>
      </c>
      <c r="S22" s="4">
        <f t="shared" si="6"/>
        <v>481.06829670574035</v>
      </c>
    </row>
    <row r="23" spans="1:19" ht="15.75" thickBot="1" x14ac:dyDescent="0.3">
      <c r="D23" s="11"/>
      <c r="E23">
        <v>19</v>
      </c>
      <c r="F23" s="4">
        <f>IF('Pricing Component 1'!$B$25*12&gt;=E23,F22+G23,0)</f>
        <v>109000.47286156035</v>
      </c>
      <c r="G23" s="4">
        <f t="shared" si="0"/>
        <v>771.45982938645693</v>
      </c>
      <c r="H23" s="4">
        <f t="shared" si="1"/>
        <v>231.43794881593706</v>
      </c>
      <c r="I23" s="1">
        <f t="shared" si="4"/>
        <v>214.23224951847121</v>
      </c>
      <c r="K23">
        <v>19</v>
      </c>
      <c r="L23" s="4">
        <f>IF('Pricing Component 1'!$B$25*12&gt;=K23,L22+M23,0)</f>
        <v>108236.02420597304</v>
      </c>
      <c r="M23" s="4">
        <f t="shared" si="2"/>
        <v>726.23304411978484</v>
      </c>
      <c r="N23" s="4">
        <f t="shared" si="3"/>
        <v>217.86991323593546</v>
      </c>
      <c r="O23" s="1">
        <f t="shared" si="5"/>
        <v>201.67289700639847</v>
      </c>
      <c r="Q23">
        <v>19</v>
      </c>
      <c r="R23" s="4">
        <f>IF('Pricing Component 1'!$B$25*12&gt;=Q23,R22+S23,0)</f>
        <v>85906.967979495283</v>
      </c>
      <c r="S23" s="4">
        <f t="shared" si="6"/>
        <v>483.79281949710247</v>
      </c>
    </row>
    <row r="24" spans="1:19" x14ac:dyDescent="0.25">
      <c r="A24" s="55" t="s">
        <v>65</v>
      </c>
      <c r="B24" s="53"/>
      <c r="C24" s="40"/>
      <c r="E24">
        <v>20</v>
      </c>
      <c r="F24" s="4">
        <f>IF('Pricing Component 1'!$B$25*12&gt;=E24,F23+G24,0)</f>
        <v>109777.43168102058</v>
      </c>
      <c r="G24" s="4">
        <f t="shared" si="0"/>
        <v>776.95881946021893</v>
      </c>
      <c r="H24" s="4">
        <f t="shared" si="1"/>
        <v>233.08764583806567</v>
      </c>
      <c r="I24" s="1">
        <f t="shared" si="4"/>
        <v>214.8838404066764</v>
      </c>
      <c r="K24">
        <v>20</v>
      </c>
      <c r="L24" s="4">
        <f>IF('Pricing Component 1'!$B$25*12&gt;=K24,L23+M24,0)</f>
        <v>108967.1629840606</v>
      </c>
      <c r="M24" s="4">
        <f t="shared" si="2"/>
        <v>731.13877808756342</v>
      </c>
      <c r="N24" s="4">
        <f t="shared" si="3"/>
        <v>219.34163342626903</v>
      </c>
      <c r="O24" s="1">
        <f t="shared" si="5"/>
        <v>202.21137153041167</v>
      </c>
      <c r="Q24">
        <v>20</v>
      </c>
      <c r="R24" s="4">
        <f>IF('Pricing Component 1'!$B$25*12&gt;=Q24,R23+S24,0)</f>
        <v>86393.500752076056</v>
      </c>
      <c r="S24" s="4">
        <f t="shared" si="6"/>
        <v>486.53277258077759</v>
      </c>
    </row>
    <row r="25" spans="1:19" x14ac:dyDescent="0.25">
      <c r="A25" s="9" t="s">
        <v>76</v>
      </c>
      <c r="B25" s="54">
        <f>B11</f>
        <v>7</v>
      </c>
      <c r="C25" s="41">
        <f>B11</f>
        <v>7</v>
      </c>
      <c r="E25">
        <v>21</v>
      </c>
      <c r="F25" s="4">
        <f>IF('Pricing Component 1'!$B$25*12&gt;=E25,F24+G25,0)</f>
        <v>110559.9286875298</v>
      </c>
      <c r="G25" s="4">
        <f t="shared" si="0"/>
        <v>782.49700650922125</v>
      </c>
      <c r="H25" s="4">
        <f t="shared" si="1"/>
        <v>234.74910195276635</v>
      </c>
      <c r="I25" s="1">
        <f t="shared" si="4"/>
        <v>215.53741311921735</v>
      </c>
      <c r="K25">
        <v>21</v>
      </c>
      <c r="L25" s="4">
        <f>IF('Pricing Component 1'!$B$25*12&gt;=K25,L24+M25,0)</f>
        <v>109703.24063454989</v>
      </c>
      <c r="M25" s="4">
        <f t="shared" si="2"/>
        <v>736.077650489289</v>
      </c>
      <c r="N25" s="4">
        <f t="shared" si="3"/>
        <v>220.82329514678671</v>
      </c>
      <c r="O25" s="1">
        <f t="shared" si="5"/>
        <v>202.75128380246801</v>
      </c>
      <c r="Q25">
        <v>21</v>
      </c>
      <c r="R25" s="4">
        <f>IF('Pricing Component 1'!$B$25*12&gt;=Q25,R24+S25,0)</f>
        <v>86882.788995422045</v>
      </c>
      <c r="S25" s="4">
        <f t="shared" si="6"/>
        <v>489.28824334598534</v>
      </c>
    </row>
    <row r="26" spans="1:19" x14ac:dyDescent="0.25">
      <c r="A26" s="9" t="s">
        <v>62</v>
      </c>
      <c r="B26" s="51">
        <f>B73</f>
        <v>8.0412099338421292E-2</v>
      </c>
      <c r="C26" s="69">
        <f>C73</f>
        <v>8.6719224991531493E-2</v>
      </c>
      <c r="D26" s="80"/>
      <c r="E26">
        <v>22</v>
      </c>
      <c r="F26" s="4">
        <f>IF('Pricing Component 1'!$B$25*12&gt;=E26,F25+G26,0)</f>
        <v>111348.00335746055</v>
      </c>
      <c r="G26" s="4">
        <f t="shared" si="0"/>
        <v>788.07466993074354</v>
      </c>
      <c r="H26" s="4">
        <f t="shared" si="1"/>
        <v>236.42240097922306</v>
      </c>
      <c r="I26" s="1">
        <f t="shared" si="4"/>
        <v>216.19297368384508</v>
      </c>
      <c r="K26">
        <v>22</v>
      </c>
      <c r="L26" s="4">
        <f>IF('Pricing Component 1'!$B$25*12&gt;=K26,L25+M26,0)</f>
        <v>110444.29051972633</v>
      </c>
      <c r="M26" s="4">
        <f t="shared" si="2"/>
        <v>741.0498851764404</v>
      </c>
      <c r="N26" s="4">
        <f t="shared" si="3"/>
        <v>222.31496555293211</v>
      </c>
      <c r="O26" s="1">
        <f t="shared" si="5"/>
        <v>203.29263766141085</v>
      </c>
      <c r="Q26">
        <v>22</v>
      </c>
      <c r="R26" s="4">
        <f>IF('Pricing Component 1'!$B$25*12&gt;=Q26,R25+S26,0)</f>
        <v>87374.84831509892</v>
      </c>
      <c r="S26" s="4">
        <f t="shared" si="6"/>
        <v>492.05931967687297</v>
      </c>
    </row>
    <row r="27" spans="1:19" x14ac:dyDescent="0.25">
      <c r="A27" s="9" t="s">
        <v>63</v>
      </c>
      <c r="B27" s="51">
        <f>nfi*B26</f>
        <v>0.56288469536894903</v>
      </c>
      <c r="C27" s="69">
        <f>nfi*C26</f>
        <v>0.60703457494072044</v>
      </c>
      <c r="D27" s="80"/>
      <c r="E27">
        <v>23</v>
      </c>
      <c r="F27" s="4">
        <f>IF('Pricing Component 1'!$B$25*12&gt;=E27,F26+G27,0)</f>
        <v>112141.69544857416</v>
      </c>
      <c r="G27" s="4">
        <f t="shared" si="0"/>
        <v>793.69209111361829</v>
      </c>
      <c r="H27" s="4">
        <f t="shared" si="1"/>
        <v>238.10762733408546</v>
      </c>
      <c r="I27" s="1">
        <f t="shared" si="4"/>
        <v>216.85052814664428</v>
      </c>
      <c r="K27">
        <v>23</v>
      </c>
      <c r="L27" s="4">
        <f>IF('Pricing Component 1'!$B$25*12&gt;=K27,L26+M27,0)</f>
        <v>111190.34622723896</v>
      </c>
      <c r="M27" s="4">
        <f t="shared" si="2"/>
        <v>746.0557075126228</v>
      </c>
      <c r="N27" s="4">
        <f t="shared" si="3"/>
        <v>223.81671225378685</v>
      </c>
      <c r="O27" s="1">
        <f t="shared" si="5"/>
        <v>203.83543695633375</v>
      </c>
      <c r="Q27">
        <v>23</v>
      </c>
      <c r="R27" s="4">
        <f>IF('Pricing Component 1'!$B$25*12&gt;=Q27,R26+S27,0)</f>
        <v>87869.694405054237</v>
      </c>
      <c r="S27" s="4">
        <f t="shared" si="6"/>
        <v>494.84608995531818</v>
      </c>
    </row>
    <row r="28" spans="1:19" x14ac:dyDescent="0.25">
      <c r="A28" s="9" t="s">
        <v>10</v>
      </c>
      <c r="B28" s="85">
        <f>(1+B27)^(1/B25)-1</f>
        <v>6.5869041897296698E-2</v>
      </c>
      <c r="C28" s="84">
        <f>(1+C27)^(1/C25)-1</f>
        <v>7.0119244756225108E-2</v>
      </c>
      <c r="D28" s="80"/>
      <c r="E28">
        <v>24</v>
      </c>
      <c r="F28" s="4">
        <f>IF('Pricing Component 1'!$B$25*12&gt;=E28,F27+G28,0)</f>
        <v>112941.04500202659</v>
      </c>
      <c r="G28" s="4">
        <f t="shared" si="0"/>
        <v>799.34955345242633</v>
      </c>
      <c r="H28" s="4">
        <f t="shared" si="1"/>
        <v>239.80486603572788</v>
      </c>
      <c r="I28" s="1">
        <f t="shared" si="4"/>
        <v>217.51008257208878</v>
      </c>
      <c r="K28">
        <v>24</v>
      </c>
      <c r="L28" s="4">
        <f>IF('Pricing Component 1'!$B$25*12&gt;=K28,L27+M28,0)</f>
        <v>111941.44157162274</v>
      </c>
      <c r="M28" s="4">
        <f t="shared" si="2"/>
        <v>751.09534438378137</v>
      </c>
      <c r="N28" s="4">
        <f t="shared" si="3"/>
        <v>225.32860331513442</v>
      </c>
      <c r="O28" s="1">
        <f t="shared" si="5"/>
        <v>204.37968554660716</v>
      </c>
      <c r="Q28">
        <v>24</v>
      </c>
      <c r="R28" s="4">
        <f>IF('Pricing Component 1'!$B$25*12&gt;=Q28,R27+S28,0)</f>
        <v>88367.343048117982</v>
      </c>
      <c r="S28" s="4">
        <f t="shared" si="6"/>
        <v>497.64864306374801</v>
      </c>
    </row>
    <row r="29" spans="1:19" ht="15.75" thickBot="1" x14ac:dyDescent="0.3">
      <c r="A29" s="10" t="s">
        <v>13</v>
      </c>
      <c r="B29" s="52">
        <f>(1+B28)^(1/12)</f>
        <v>1.0053300266686915</v>
      </c>
      <c r="C29" s="43">
        <f>(1+C28)^(1/12)</f>
        <v>1.0056634843950831</v>
      </c>
      <c r="E29">
        <v>25</v>
      </c>
      <c r="F29" s="4">
        <f>IF('Pricing Component 1'!$B$25*12&gt;=E29,F28+G29,0)</f>
        <v>113746.09234438838</v>
      </c>
      <c r="G29" s="4">
        <f t="shared" si="0"/>
        <v>805.04734236179411</v>
      </c>
      <c r="H29" s="4">
        <f t="shared" si="1"/>
        <v>241.51420270853822</v>
      </c>
      <c r="I29" s="1">
        <f t="shared" si="4"/>
        <v>218.17164304309762</v>
      </c>
      <c r="K29">
        <v>25</v>
      </c>
      <c r="L29" s="4">
        <f>IF('Pricing Component 1'!$B$25*12&gt;=K29,L28+M29,0)</f>
        <v>112697.61059583123</v>
      </c>
      <c r="M29" s="4">
        <f t="shared" si="2"/>
        <v>756.16902420848533</v>
      </c>
      <c r="N29" s="4">
        <f t="shared" si="3"/>
        <v>226.8507072625456</v>
      </c>
      <c r="O29" s="1">
        <f t="shared" si="5"/>
        <v>204.9253873019064</v>
      </c>
      <c r="Q29">
        <v>25</v>
      </c>
      <c r="R29" s="4">
        <f>IF('Pricing Component 1'!$B$25*12&gt;=Q29,R28+S29,0)</f>
        <v>88867.810116505949</v>
      </c>
      <c r="S29" s="4">
        <f t="shared" si="6"/>
        <v>500.46706838797382</v>
      </c>
    </row>
    <row r="30" spans="1:19" ht="15.75" thickBot="1" x14ac:dyDescent="0.3">
      <c r="E30">
        <v>26</v>
      </c>
      <c r="F30" s="4">
        <f>IF('Pricing Component 1'!$B$25*12&gt;=E30,F29+G30,0)</f>
        <v>114556.87808967917</v>
      </c>
      <c r="G30" s="4">
        <f t="shared" si="0"/>
        <v>810.78574529079276</v>
      </c>
      <c r="H30" s="4">
        <f t="shared" si="1"/>
        <v>243.23572358723783</v>
      </c>
      <c r="I30" s="1">
        <f t="shared" si="4"/>
        <v>218.83521566109127</v>
      </c>
      <c r="K30">
        <v>26</v>
      </c>
      <c r="L30" s="4">
        <f>IF('Pricing Component 1'!$B$25*12&gt;=K30,L29+M30,0)</f>
        <v>113458.88757277951</v>
      </c>
      <c r="M30" s="4">
        <f t="shared" si="2"/>
        <v>761.27697694828066</v>
      </c>
      <c r="N30" s="4">
        <f t="shared" si="3"/>
        <v>228.38309308448419</v>
      </c>
      <c r="O30" s="1">
        <f t="shared" si="5"/>
        <v>205.47254610223897</v>
      </c>
      <c r="Q30">
        <v>26</v>
      </c>
      <c r="R30" s="4">
        <f>IF('Pricing Component 1'!$B$25*12&gt;=Q30,R29+S30,0)</f>
        <v>89371.111572325986</v>
      </c>
      <c r="S30" s="4">
        <f t="shared" si="6"/>
        <v>503.30145582004207</v>
      </c>
    </row>
    <row r="31" spans="1:19" x14ac:dyDescent="0.25">
      <c r="A31" s="8" t="s">
        <v>3</v>
      </c>
      <c r="B31" s="73">
        <v>0.05</v>
      </c>
      <c r="E31">
        <v>27</v>
      </c>
      <c r="F31" s="4">
        <f>IF('Pricing Component 1'!$B$25*12&gt;=E31,F30+G31,0)</f>
        <v>115373.44314141662</v>
      </c>
      <c r="G31" s="4">
        <f t="shared" si="0"/>
        <v>816.56505173743903</v>
      </c>
      <c r="H31" s="4">
        <f t="shared" si="1"/>
        <v>244.9695155212317</v>
      </c>
      <c r="I31" s="1">
        <f t="shared" si="4"/>
        <v>219.50080654604761</v>
      </c>
      <c r="K31">
        <v>27</v>
      </c>
      <c r="L31" s="4">
        <f>IF('Pricing Component 1'!$B$25*12&gt;=K31,L30+M31,0)</f>
        <v>114225.30700689762</v>
      </c>
      <c r="M31" s="4">
        <f t="shared" si="2"/>
        <v>766.41943411811314</v>
      </c>
      <c r="N31" s="4">
        <f t="shared" si="3"/>
        <v>229.92583023543395</v>
      </c>
      <c r="O31" s="1">
        <f t="shared" si="5"/>
        <v>206.02116583797218</v>
      </c>
      <c r="Q31">
        <v>27</v>
      </c>
      <c r="R31" s="4">
        <f>IF('Pricing Component 1'!$B$25*12&gt;=Q31,R30+S31,0)</f>
        <v>89877.263468087083</v>
      </c>
      <c r="S31" s="4">
        <f t="shared" si="6"/>
        <v>506.15189576110151</v>
      </c>
    </row>
    <row r="32" spans="1:19" x14ac:dyDescent="0.25">
      <c r="A32" s="9" t="s">
        <v>5</v>
      </c>
      <c r="B32" s="56">
        <v>3</v>
      </c>
      <c r="E32">
        <v>28</v>
      </c>
      <c r="F32" s="4">
        <f>IF('Pricing Component 1'!$B$25*12&gt;=E32,F31+G32,0)</f>
        <v>116195.82869467992</v>
      </c>
      <c r="G32" s="4">
        <f t="shared" si="0"/>
        <v>822.38555326330106</v>
      </c>
      <c r="H32" s="4">
        <f t="shared" si="1"/>
        <v>246.7156659789903</v>
      </c>
      <c r="I32" s="1">
        <f t="shared" si="4"/>
        <v>220.16842183655862</v>
      </c>
      <c r="K32">
        <v>28</v>
      </c>
      <c r="L32" s="4">
        <f>IF('Pricing Component 1'!$B$25*12&gt;=K32,L31+M32,0)</f>
        <v>114996.90363569444</v>
      </c>
      <c r="M32" s="4">
        <f t="shared" si="2"/>
        <v>771.59662879682116</v>
      </c>
      <c r="N32" s="4">
        <f t="shared" si="3"/>
        <v>231.47898863904635</v>
      </c>
      <c r="O32" s="1">
        <f t="shared" si="5"/>
        <v>206.57125040986054</v>
      </c>
      <c r="Q32">
        <v>28</v>
      </c>
      <c r="R32" s="4">
        <f>IF('Pricing Component 1'!$B$25*12&gt;=Q32,R31+S32,0)</f>
        <v>90386.281947211362</v>
      </c>
      <c r="S32" s="4">
        <f t="shared" si="6"/>
        <v>509.01847912428622</v>
      </c>
    </row>
    <row r="33" spans="1:19" x14ac:dyDescent="0.25">
      <c r="A33" s="9" t="s">
        <v>15</v>
      </c>
      <c r="B33" s="79">
        <f>'Quote ALFIGP'!B24</f>
        <v>0</v>
      </c>
      <c r="E33">
        <v>29</v>
      </c>
      <c r="F33" s="4">
        <f>IF('Pricing Component 1'!$B$25*12&gt;=E33,F32+G33,0)</f>
        <v>117024.07623818812</v>
      </c>
      <c r="G33" s="4">
        <f t="shared" si="0"/>
        <v>828.24754350820695</v>
      </c>
      <c r="H33" s="4">
        <f t="shared" si="1"/>
        <v>248.47426305246208</v>
      </c>
      <c r="I33" s="1">
        <f t="shared" si="4"/>
        <v>220.83806768988683</v>
      </c>
      <c r="K33">
        <v>29</v>
      </c>
      <c r="L33" s="4">
        <f>IF('Pricing Component 1'!$B$25*12&gt;=K33,L32+M33,0)</f>
        <v>115773.71243133214</v>
      </c>
      <c r="M33" s="4">
        <f t="shared" si="2"/>
        <v>776.80879563770054</v>
      </c>
      <c r="N33" s="4">
        <f t="shared" si="3"/>
        <v>233.04263869131015</v>
      </c>
      <c r="O33" s="1">
        <f t="shared" si="5"/>
        <v>207.12280372907392</v>
      </c>
      <c r="Q33">
        <v>29</v>
      </c>
      <c r="R33" s="4">
        <f>IF('Pricing Component 1'!$B$25*12&gt;=Q33,R32+S33,0)</f>
        <v>90898.183244548971</v>
      </c>
      <c r="S33" s="4">
        <f t="shared" si="6"/>
        <v>511.90129733761552</v>
      </c>
    </row>
    <row r="34" spans="1:19" ht="15.75" thickBot="1" x14ac:dyDescent="0.3">
      <c r="A34" s="10" t="s">
        <v>6</v>
      </c>
      <c r="B34" s="59">
        <f>O89</f>
        <v>18073.740612073132</v>
      </c>
      <c r="E34">
        <v>30</v>
      </c>
      <c r="F34" s="4">
        <f>IF('Pricing Component 1'!$B$25*12&gt;=E34,F33+G34,0)</f>
        <v>117858.22755639318</v>
      </c>
      <c r="G34" s="4">
        <f t="shared" si="0"/>
        <v>834.15131820505871</v>
      </c>
      <c r="H34" s="4">
        <f t="shared" si="1"/>
        <v>250.2453954615176</v>
      </c>
      <c r="I34" s="1">
        <f t="shared" si="4"/>
        <v>221.50975028202225</v>
      </c>
      <c r="K34">
        <v>30</v>
      </c>
      <c r="L34" s="4">
        <f>IF('Pricing Component 1'!$B$25*12&gt;=K34,L33+M34,0)</f>
        <v>116555.76860221128</v>
      </c>
      <c r="M34" s="4">
        <f t="shared" si="2"/>
        <v>782.05617087913959</v>
      </c>
      <c r="N34" s="4">
        <f t="shared" si="3"/>
        <v>234.61685126374186</v>
      </c>
      <c r="O34" s="1">
        <f t="shared" si="5"/>
        <v>207.67582971722521</v>
      </c>
      <c r="Q34">
        <v>30</v>
      </c>
      <c r="R34" s="4">
        <f>IF('Pricing Component 1'!$B$25*12&gt;=Q34,R33+S34,0)</f>
        <v>91412.983686895881</v>
      </c>
      <c r="S34" s="4">
        <f t="shared" si="6"/>
        <v>514.8004423469099</v>
      </c>
    </row>
    <row r="35" spans="1:19" ht="15.75" thickBot="1" x14ac:dyDescent="0.3">
      <c r="E35">
        <v>31</v>
      </c>
      <c r="F35" s="4">
        <f>IF('Pricing Component 1'!$B$25*12&gt;=E35,F34+G35,0)</f>
        <v>118698.32473158793</v>
      </c>
      <c r="G35" s="4">
        <f t="shared" si="0"/>
        <v>840.09717519475203</v>
      </c>
      <c r="H35" s="4">
        <f t="shared" si="1"/>
        <v>252.02915255842561</v>
      </c>
      <c r="I35" s="1">
        <f t="shared" si="4"/>
        <v>222.18347580773926</v>
      </c>
      <c r="K35">
        <v>31</v>
      </c>
      <c r="L35" s="4">
        <f>IF('Pricing Component 1'!$B$25*12&gt;=K35,L34+M35,0)</f>
        <v>117343.10759456661</v>
      </c>
      <c r="M35" s="4">
        <f t="shared" si="2"/>
        <v>787.33899235532658</v>
      </c>
      <c r="N35" s="4">
        <f t="shared" si="3"/>
        <v>236.20169770659797</v>
      </c>
      <c r="O35" s="1">
        <f t="shared" si="5"/>
        <v>208.23033230639803</v>
      </c>
      <c r="Q35">
        <v>31</v>
      </c>
      <c r="R35" s="4">
        <f>IF('Pricing Component 1'!$B$25*12&gt;=Q35,R34+S35,0)</f>
        <v>91930.699693514602</v>
      </c>
      <c r="S35" s="4">
        <f t="shared" si="6"/>
        <v>517.71600661872344</v>
      </c>
    </row>
    <row r="36" spans="1:19" x14ac:dyDescent="0.25">
      <c r="A36" s="8" t="s">
        <v>71</v>
      </c>
      <c r="B36" s="17">
        <v>1.4E-2</v>
      </c>
      <c r="C36" s="60">
        <f>C3*B36</f>
        <v>1400</v>
      </c>
      <c r="E36">
        <v>32</v>
      </c>
      <c r="F36" s="4">
        <f>IF('Pricing Component 1'!$B$25*12&gt;=E36,F35+G36,0)</f>
        <v>119544.41014602913</v>
      </c>
      <c r="G36" s="4">
        <f t="shared" si="0"/>
        <v>846.08541444120181</v>
      </c>
      <c r="H36" s="4">
        <f t="shared" si="1"/>
        <v>253.82562433236052</v>
      </c>
      <c r="I36" s="1">
        <f t="shared" si="4"/>
        <v>222.85925048065377</v>
      </c>
      <c r="K36">
        <v>32</v>
      </c>
      <c r="L36" s="4">
        <f>IF('Pricing Component 1'!$B$25*12&gt;=K36,L35+M36,0)</f>
        <v>118135.76509407363</v>
      </c>
      <c r="M36" s="4">
        <f t="shared" si="2"/>
        <v>792.65749950702957</v>
      </c>
      <c r="N36" s="4">
        <f t="shared" si="3"/>
        <v>237.79724985210885</v>
      </c>
      <c r="O36" s="1">
        <f t="shared" si="5"/>
        <v>208.7863154391749</v>
      </c>
      <c r="Q36">
        <v>32</v>
      </c>
      <c r="R36" s="4">
        <f>IF('Pricing Component 1'!$B$25*12&gt;=Q36,R35+S36,0)</f>
        <v>92451.347776657902</v>
      </c>
      <c r="S36" s="4">
        <f t="shared" si="6"/>
        <v>520.64808314329332</v>
      </c>
    </row>
    <row r="37" spans="1:19" x14ac:dyDescent="0.25">
      <c r="A37" s="9" t="s">
        <v>70</v>
      </c>
      <c r="B37" s="18">
        <v>1.61E-2</v>
      </c>
      <c r="C37" s="61">
        <f>C3*B37</f>
        <v>1610</v>
      </c>
      <c r="E37">
        <v>33</v>
      </c>
      <c r="F37" s="4">
        <f>IF('Pricing Component 1'!$B$25*12&gt;=E37,F36+G37,0)</f>
        <v>120396.5264840756</v>
      </c>
      <c r="G37" s="4">
        <f t="shared" ref="G37:G68" si="7">IF($B$11*12&gt;=E37,F36*($B$15-1),0)</f>
        <v>852.11633804647511</v>
      </c>
      <c r="H37" s="4">
        <f t="shared" ref="H37:H68" si="8">G37*$B$75</f>
        <v>255.63490141394252</v>
      </c>
      <c r="I37" s="1">
        <f t="shared" ref="I37:I88" si="9">H37*(1+rfr)^(-E37/12)</f>
        <v>223.5370805332804</v>
      </c>
      <c r="K37">
        <v>33</v>
      </c>
      <c r="L37" s="4">
        <f>IF('Pricing Component 1'!$B$25*12&gt;=K37,L36+M37,0)</f>
        <v>118933.77702746609</v>
      </c>
      <c r="M37" s="4">
        <f t="shared" ref="M37:M68" si="10">IF($B$11*12&gt;=K37,L36*($B$22-1),0)</f>
        <v>798.01193339244878</v>
      </c>
      <c r="N37" s="4">
        <f t="shared" ref="N37:N68" si="11">M37*$B$75</f>
        <v>239.40358001773461</v>
      </c>
      <c r="O37" s="1">
        <f t="shared" si="5"/>
        <v>209.34378306866515</v>
      </c>
      <c r="Q37">
        <v>33</v>
      </c>
      <c r="R37" s="4">
        <f>IF('Pricing Component 1'!$B$25*12&gt;=Q37,R36+S37,0)</f>
        <v>92974.944542095414</v>
      </c>
      <c r="S37" s="4">
        <f t="shared" si="6"/>
        <v>523.59676543750538</v>
      </c>
    </row>
    <row r="38" spans="1:19" ht="15.75" thickBot="1" x14ac:dyDescent="0.3">
      <c r="A38" s="9" t="s">
        <v>9</v>
      </c>
      <c r="B38" s="19">
        <f>B5</f>
        <v>1.7500000000000002E-2</v>
      </c>
      <c r="C38" s="61">
        <f>C5</f>
        <v>1750.0000000000002</v>
      </c>
      <c r="E38">
        <v>34</v>
      </c>
      <c r="F38" s="4">
        <f>IF('Pricing Component 1'!$B$25*12&gt;=E38,F37+G38,0)</f>
        <v>121254.71673434164</v>
      </c>
      <c r="G38" s="4">
        <f t="shared" si="7"/>
        <v>858.19025026603242</v>
      </c>
      <c r="H38" s="4">
        <f t="shared" si="8"/>
        <v>257.45707507980973</v>
      </c>
      <c r="I38" s="1">
        <f t="shared" si="9"/>
        <v>224.21697221709022</v>
      </c>
      <c r="K38">
        <v>34</v>
      </c>
      <c r="L38" s="4">
        <f>IF('Pricing Component 1'!$B$25*12&gt;=K38,L37+M38,0)</f>
        <v>119737.17956416422</v>
      </c>
      <c r="M38" s="4">
        <f t="shared" si="10"/>
        <v>803.4025366981424</v>
      </c>
      <c r="N38" s="4">
        <f t="shared" si="11"/>
        <v>241.02076100944271</v>
      </c>
      <c r="O38" s="1">
        <f t="shared" si="5"/>
        <v>209.90273915853302</v>
      </c>
      <c r="Q38">
        <v>34</v>
      </c>
      <c r="R38" s="4">
        <f>IF('Pricing Component 1'!$B$25*12&gt;=Q38,R37+S38,0)</f>
        <v>93501.506689643298</v>
      </c>
      <c r="S38" s="4">
        <f t="shared" si="6"/>
        <v>526.56214754787675</v>
      </c>
    </row>
    <row r="39" spans="1:19" ht="15.75" thickBot="1" x14ac:dyDescent="0.3">
      <c r="A39" s="12" t="s">
        <v>68</v>
      </c>
      <c r="B39" s="20">
        <f>SUM(B36:B38)</f>
        <v>4.7600000000000003E-2</v>
      </c>
      <c r="C39" s="62">
        <f>SUM(C36:C38)</f>
        <v>4760</v>
      </c>
      <c r="E39">
        <v>35</v>
      </c>
      <c r="F39" s="4">
        <f>IF('Pricing Component 1'!$B$25*12&gt;=E39,F38+G39,0)</f>
        <v>122119.02419186571</v>
      </c>
      <c r="G39" s="4">
        <f t="shared" si="7"/>
        <v>864.30745752407643</v>
      </c>
      <c r="H39" s="4">
        <f t="shared" si="8"/>
        <v>259.29223725722289</v>
      </c>
      <c r="I39" s="1">
        <f t="shared" si="9"/>
        <v>224.89893180256811</v>
      </c>
      <c r="K39">
        <v>35</v>
      </c>
      <c r="L39" s="4">
        <f>IF('Pricing Component 1'!$B$25*12&gt;=K39,L38+M39,0)</f>
        <v>120546.00911791425</v>
      </c>
      <c r="M39" s="4">
        <f t="shared" si="10"/>
        <v>808.82955375002621</v>
      </c>
      <c r="N39" s="4">
        <f t="shared" si="11"/>
        <v>242.64886612500786</v>
      </c>
      <c r="O39" s="1">
        <f t="shared" si="5"/>
        <v>210.46318768302606</v>
      </c>
      <c r="Q39">
        <v>35</v>
      </c>
      <c r="R39" s="4">
        <f>IF('Pricing Component 1'!$B$25*12&gt;=Q39,R38+S39,0)</f>
        <v>94031.051013696851</v>
      </c>
      <c r="S39" s="4">
        <f t="shared" si="6"/>
        <v>529.54432405355567</v>
      </c>
    </row>
    <row r="40" spans="1:19" ht="16.5" thickTop="1" thickBot="1" x14ac:dyDescent="0.3">
      <c r="E40">
        <v>36</v>
      </c>
      <c r="F40" s="4">
        <f>IF('Pricing Component 1'!$B$25*12&gt;=E40,F39+G40,0)</f>
        <v>122989.49246029473</v>
      </c>
      <c r="G40" s="4">
        <f t="shared" si="7"/>
        <v>870.46826842901146</v>
      </c>
      <c r="H40" s="4">
        <f t="shared" si="8"/>
        <v>261.14048052870345</v>
      </c>
      <c r="I40" s="1">
        <f t="shared" si="9"/>
        <v>225.58296557927085</v>
      </c>
      <c r="K40">
        <v>36</v>
      </c>
      <c r="L40" s="4">
        <f>IF('Pricing Component 1'!$B$25*12&gt;=K40,L39+M40,0)</f>
        <v>121360.30234843869</v>
      </c>
      <c r="M40" s="4">
        <f t="shared" si="10"/>
        <v>814.29323052444772</v>
      </c>
      <c r="N40" s="4">
        <f t="shared" si="11"/>
        <v>244.28796915733432</v>
      </c>
      <c r="O40" s="1">
        <f t="shared" si="5"/>
        <v>211.02513262700296</v>
      </c>
      <c r="Q40">
        <v>36</v>
      </c>
      <c r="R40" s="4">
        <f>IF('Pricing Component 1'!$B$25*12&gt;=Q40,R39+S40,0)</f>
        <v>94563.594403766183</v>
      </c>
      <c r="S40" s="4">
        <f t="shared" si="6"/>
        <v>532.54339006933776</v>
      </c>
    </row>
    <row r="41" spans="1:19" x14ac:dyDescent="0.25">
      <c r="A41" s="8"/>
      <c r="B41" s="39"/>
      <c r="C41" s="40"/>
      <c r="E41">
        <v>37</v>
      </c>
      <c r="F41" s="4">
        <f>IF('Pricing Component 1'!$B$25*12&gt;=E41,F40+G41,0)</f>
        <v>123866.16545408373</v>
      </c>
      <c r="G41" s="4">
        <f t="shared" si="7"/>
        <v>876.67299378901214</v>
      </c>
      <c r="H41" s="4">
        <f t="shared" si="8"/>
        <v>263.00189813670363</v>
      </c>
      <c r="I41" s="1">
        <f t="shared" si="9"/>
        <v>226.26907985588488</v>
      </c>
      <c r="K41">
        <v>37</v>
      </c>
      <c r="L41" s="4">
        <f>IF('Pricing Component 1'!$B$25*12&gt;=K41,L40+M41,0)</f>
        <v>122180.09616309803</v>
      </c>
      <c r="M41" s="4">
        <f t="shared" si="10"/>
        <v>819.79381465933466</v>
      </c>
      <c r="N41" s="4">
        <f t="shared" si="11"/>
        <v>245.93814439780039</v>
      </c>
      <c r="O41" s="1">
        <f t="shared" si="5"/>
        <v>211.58857798596233</v>
      </c>
      <c r="Q41">
        <v>37</v>
      </c>
      <c r="R41" s="4">
        <f>IF('Pricing Component 1'!$B$25*12&gt;=Q41,R40+S41,0)</f>
        <v>95099.15384501488</v>
      </c>
      <c r="S41" s="4">
        <f t="shared" si="6"/>
        <v>535.55944124870007</v>
      </c>
    </row>
    <row r="42" spans="1:19" x14ac:dyDescent="0.25">
      <c r="A42" s="9" t="s">
        <v>36</v>
      </c>
      <c r="B42" s="1">
        <f>C7</f>
        <v>98250</v>
      </c>
      <c r="C42" s="45">
        <f>C7</f>
        <v>98250</v>
      </c>
      <c r="E42">
        <v>38</v>
      </c>
      <c r="F42" s="4">
        <f>IF('Pricing Component 1'!$B$25*12&gt;=E42,F41+G42,0)</f>
        <v>124749.08740071143</v>
      </c>
      <c r="G42" s="4">
        <f t="shared" si="7"/>
        <v>882.92194662770362</v>
      </c>
      <c r="H42" s="4">
        <f t="shared" si="8"/>
        <v>264.8765839883111</v>
      </c>
      <c r="I42" s="1">
        <f t="shared" si="9"/>
        <v>226.95728096028469</v>
      </c>
      <c r="K42">
        <v>38</v>
      </c>
      <c r="L42" s="4">
        <f>IF('Pricing Component 1'!$B$25*12&gt;=K42,L41+M42,0)</f>
        <v>123005.42771856346</v>
      </c>
      <c r="M42" s="4">
        <f t="shared" si="10"/>
        <v>825.33155546541923</v>
      </c>
      <c r="N42" s="4">
        <f t="shared" si="11"/>
        <v>247.59946663962575</v>
      </c>
      <c r="O42" s="1">
        <f t="shared" si="5"/>
        <v>212.15352776607094</v>
      </c>
      <c r="Q42">
        <v>38</v>
      </c>
      <c r="R42" s="4">
        <f>IF('Pricing Component 1'!$B$25*12&gt;=Q42,R41+S42,0)</f>
        <v>95637.746418801733</v>
      </c>
      <c r="S42" s="4">
        <f t="shared" si="6"/>
        <v>538.59257378685152</v>
      </c>
    </row>
    <row r="43" spans="1:19" x14ac:dyDescent="0.25">
      <c r="A43" s="9" t="s">
        <v>39</v>
      </c>
      <c r="B43" s="1">
        <f>C36</f>
        <v>1400</v>
      </c>
      <c r="C43" s="45">
        <f>C36</f>
        <v>1400</v>
      </c>
      <c r="E43">
        <v>39</v>
      </c>
      <c r="F43" s="4">
        <f>IF('Pricing Component 1'!$B$25*12&gt;=E43,F42+G43,0)</f>
        <v>125638.30284291139</v>
      </c>
      <c r="G43" s="4">
        <f>IF($B$11*12&gt;=E43,F42*($B$15-1),0)</f>
        <v>889.21544219995349</v>
      </c>
      <c r="H43" s="4">
        <f t="shared" si="8"/>
        <v>266.76463265998603</v>
      </c>
      <c r="I43" s="1">
        <f t="shared" si="9"/>
        <v>227.64757523959105</v>
      </c>
      <c r="K43">
        <v>39</v>
      </c>
      <c r="L43" s="4">
        <f>IF('Pricing Component 1'!$B$25*12&gt;=K43,L42+M43,0)</f>
        <v>123836.33442250099</v>
      </c>
      <c r="M43" s="4">
        <f>IF($B$11*12&gt;=K43,L42*($B$22-1),0)</f>
        <v>830.9067039375376</v>
      </c>
      <c r="N43" s="4">
        <f t="shared" si="11"/>
        <v>249.27201118126126</v>
      </c>
      <c r="O43" s="1">
        <f t="shared" si="5"/>
        <v>212.71998598419199</v>
      </c>
      <c r="Q43">
        <v>39</v>
      </c>
      <c r="R43" s="4">
        <f>IF('Pricing Component 1'!$B$25*12&gt;=Q43,R42+S43,0)</f>
        <v>96179.389303225529</v>
      </c>
      <c r="S43" s="4">
        <f t="shared" si="6"/>
        <v>541.64288442380109</v>
      </c>
    </row>
    <row r="44" spans="1:19" x14ac:dyDescent="0.25">
      <c r="A44" s="9" t="s">
        <v>40</v>
      </c>
      <c r="B44" s="1">
        <f>C37</f>
        <v>1610</v>
      </c>
      <c r="C44" s="45">
        <f>C37</f>
        <v>1610</v>
      </c>
      <c r="E44">
        <v>40</v>
      </c>
      <c r="F44" s="4">
        <f>IF('Pricing Component 1'!$B$25*12&gt;=E44,F43+G44,0)</f>
        <v>126533.85664091917</v>
      </c>
      <c r="G44" s="4">
        <f t="shared" si="7"/>
        <v>895.55379800777609</v>
      </c>
      <c r="H44" s="4">
        <f t="shared" si="8"/>
        <v>268.66613940233282</v>
      </c>
      <c r="I44" s="1">
        <f t="shared" si="9"/>
        <v>228.33996906022983</v>
      </c>
      <c r="K44">
        <v>40</v>
      </c>
      <c r="L44" s="4">
        <f>IF('Pricing Component 1'!$B$25*12&gt;=K44,L43+M44,0)</f>
        <v>124672.853935267</v>
      </c>
      <c r="M44" s="4">
        <f t="shared" si="10"/>
        <v>836.51951276600641</v>
      </c>
      <c r="N44" s="4">
        <f t="shared" si="11"/>
        <v>250.95585382980192</v>
      </c>
      <c r="O44" s="1">
        <f t="shared" si="5"/>
        <v>213.2879566679141</v>
      </c>
      <c r="Q44">
        <v>40</v>
      </c>
      <c r="R44" s="4">
        <f>IF('Pricing Component 1'!$B$25*12&gt;=Q44,R43+S44,0)</f>
        <v>96724.099773672977</v>
      </c>
      <c r="S44" s="4">
        <f t="shared" si="6"/>
        <v>544.71047044744307</v>
      </c>
    </row>
    <row r="45" spans="1:19" x14ac:dyDescent="0.25">
      <c r="A45" s="9" t="s">
        <v>124</v>
      </c>
      <c r="B45" s="77"/>
      <c r="C45" s="78">
        <f>B45</f>
        <v>0</v>
      </c>
      <c r="E45">
        <v>41</v>
      </c>
      <c r="F45" s="4">
        <f>IF('Pricing Component 1'!$B$25*12&gt;=E45,F44+G45,0)</f>
        <v>127435.79397473553</v>
      </c>
      <c r="G45" s="4">
        <f t="shared" si="7"/>
        <v>901.93733381634979</v>
      </c>
      <c r="H45" s="4">
        <f t="shared" si="8"/>
        <v>270.58120014490493</v>
      </c>
      <c r="I45" s="1">
        <f t="shared" si="9"/>
        <v>229.03446880799009</v>
      </c>
      <c r="K45">
        <v>41</v>
      </c>
      <c r="L45" s="4">
        <f>IF('Pricing Component 1'!$B$25*12&gt;=K45,L44+M45,0)</f>
        <v>125515.02417161508</v>
      </c>
      <c r="M45" s="4">
        <f t="shared" si="10"/>
        <v>842.17023634807606</v>
      </c>
      <c r="N45" s="4">
        <f t="shared" si="11"/>
        <v>252.6510709044228</v>
      </c>
      <c r="O45" s="1">
        <f t="shared" si="5"/>
        <v>213.85744385557948</v>
      </c>
      <c r="Q45">
        <v>41</v>
      </c>
      <c r="R45" s="4">
        <f>IF('Pricing Component 1'!$B$25*12&gt;=Q45,R44+S45,0)</f>
        <v>97271.895203369641</v>
      </c>
      <c r="S45" s="4">
        <f t="shared" si="6"/>
        <v>547.79542969666056</v>
      </c>
    </row>
    <row r="46" spans="1:19" x14ac:dyDescent="0.25">
      <c r="A46" s="9" t="s">
        <v>123</v>
      </c>
      <c r="B46" s="1">
        <f>B42-B43-B44-B45</f>
        <v>95240</v>
      </c>
      <c r="C46" s="45">
        <f>C42-C43-C44-C45</f>
        <v>95240</v>
      </c>
      <c r="E46">
        <v>42</v>
      </c>
      <c r="F46" s="4">
        <f>IF('Pricing Component 1'!$B$25*12&gt;=E46,F45+G46,0)</f>
        <v>128344.16034640568</v>
      </c>
      <c r="G46" s="4">
        <f>IF($B$11*12&gt;=E46,F45*($B$15-1),0)</f>
        <v>908.36637167014965</v>
      </c>
      <c r="H46" s="4">
        <f t="shared" si="8"/>
        <v>272.50991150104488</v>
      </c>
      <c r="I46" s="1">
        <f t="shared" si="9"/>
        <v>229.73108088808374</v>
      </c>
      <c r="K46">
        <v>42</v>
      </c>
      <c r="L46" s="4">
        <f>IF('Pricing Component 1'!$B$25*12&gt;=K46,L45+M46,0)</f>
        <v>126362.88330241454</v>
      </c>
      <c r="M46" s="4">
        <f>IF($B$11*12&gt;=K46,L45*($B$22-1),0)</f>
        <v>847.85913079946022</v>
      </c>
      <c r="N46" s="4">
        <f t="shared" si="11"/>
        <v>254.35773923983805</v>
      </c>
      <c r="O46" s="1">
        <f t="shared" si="5"/>
        <v>214.42845159631304</v>
      </c>
      <c r="Q46">
        <v>42</v>
      </c>
      <c r="R46" s="4">
        <f>IF('Pricing Component 1'!$B$25*12&gt;=Q46,R45+S46,0)</f>
        <v>97822.793063934092</v>
      </c>
      <c r="S46" s="4">
        <f t="shared" si="6"/>
        <v>550.89786056444541</v>
      </c>
    </row>
    <row r="47" spans="1:19" x14ac:dyDescent="0.25">
      <c r="A47" s="9" t="s">
        <v>35</v>
      </c>
      <c r="B47" s="1">
        <f>F89</f>
        <v>172954.88759999891</v>
      </c>
      <c r="C47" s="45">
        <f>F89</f>
        <v>172954.88759999891</v>
      </c>
      <c r="E47">
        <v>43</v>
      </c>
      <c r="F47" s="4">
        <f>IF('Pricing Component 1'!$B$25*12&gt;=E47,F46+G47,0)</f>
        <v>129259.00158231487</v>
      </c>
      <c r="G47" s="4">
        <f t="shared" si="7"/>
        <v>914.84123590919364</v>
      </c>
      <c r="H47" s="4">
        <f t="shared" si="8"/>
        <v>274.45237077275806</v>
      </c>
      <c r="I47" s="1">
        <f t="shared" si="9"/>
        <v>230.42981172520402</v>
      </c>
      <c r="K47">
        <v>43</v>
      </c>
      <c r="L47" s="4">
        <f>IF('Pricing Component 1'!$B$25*12&gt;=K47,L46+M47,0)</f>
        <v>127216.46975638049</v>
      </c>
      <c r="M47" s="4">
        <f t="shared" si="10"/>
        <v>853.58645396594522</v>
      </c>
      <c r="N47" s="4">
        <f t="shared" si="11"/>
        <v>256.07593618978353</v>
      </c>
      <c r="O47" s="1">
        <f t="shared" si="5"/>
        <v>215.00098395005091</v>
      </c>
      <c r="Q47">
        <v>43</v>
      </c>
      <c r="R47" s="4">
        <f>IF('Pricing Component 1'!$B$25*12&gt;=Q47,R46+S47,0)</f>
        <v>98376.810925935133</v>
      </c>
      <c r="S47" s="4">
        <f t="shared" si="6"/>
        <v>554.01786200103686</v>
      </c>
    </row>
    <row r="48" spans="1:19" x14ac:dyDescent="0.25">
      <c r="A48" s="9" t="s">
        <v>37</v>
      </c>
      <c r="B48" s="38">
        <f>B47-B46</f>
        <v>77714.88759999891</v>
      </c>
      <c r="C48" s="66">
        <f>C47-C46</f>
        <v>77714.88759999891</v>
      </c>
      <c r="E48">
        <v>44</v>
      </c>
      <c r="F48" s="4">
        <f>IF('Pricing Component 1'!$B$25*12&gt;=E48,F47+G48,0)</f>
        <v>130180.36383550028</v>
      </c>
      <c r="G48" s="4">
        <f t="shared" si="7"/>
        <v>921.36225318540585</v>
      </c>
      <c r="H48" s="4">
        <f t="shared" si="8"/>
        <v>276.40867595562173</v>
      </c>
      <c r="I48" s="1">
        <f t="shared" si="9"/>
        <v>231.13066776358514</v>
      </c>
      <c r="K48">
        <v>44</v>
      </c>
      <c r="L48" s="4">
        <f>IF('Pricing Component 1'!$B$25*12&gt;=K48,L47+M48,0)</f>
        <v>128075.82222181557</v>
      </c>
      <c r="M48" s="4">
        <f t="shared" si="10"/>
        <v>859.35246543507606</v>
      </c>
      <c r="N48" s="4">
        <f t="shared" si="11"/>
        <v>257.80573963052279</v>
      </c>
      <c r="O48" s="1">
        <f t="shared" si="5"/>
        <v>215.57504498756958</v>
      </c>
      <c r="Q48">
        <v>44</v>
      </c>
      <c r="R48" s="4">
        <f>IF('Pricing Component 1'!$B$25*12&gt;=Q48,R47+S48,0)</f>
        <v>98933.966459452204</v>
      </c>
      <c r="S48" s="4">
        <f t="shared" si="6"/>
        <v>557.15553351707717</v>
      </c>
    </row>
    <row r="49" spans="1:19" x14ac:dyDescent="0.25">
      <c r="A49" s="9" t="s">
        <v>38</v>
      </c>
      <c r="B49" s="1"/>
      <c r="C49" s="45"/>
      <c r="D49" s="1"/>
      <c r="E49">
        <v>45</v>
      </c>
      <c r="F49" s="4">
        <f>IF('Pricing Component 1'!$B$25*12&gt;=E49,F48+G49,0)</f>
        <v>131108.29358797937</v>
      </c>
      <c r="G49" s="4">
        <f t="shared" si="7"/>
        <v>927.92975247909555</v>
      </c>
      <c r="H49" s="4">
        <f t="shared" si="8"/>
        <v>278.37892574372864</v>
      </c>
      <c r="I49" s="1">
        <f t="shared" si="9"/>
        <v>231.83365546706133</v>
      </c>
      <c r="K49">
        <v>45</v>
      </c>
      <c r="L49" s="4">
        <f>IF('Pricing Component 1'!$B$25*12&gt;=K49,L48+M49,0)</f>
        <v>128940.9796483635</v>
      </c>
      <c r="M49" s="4">
        <f t="shared" si="10"/>
        <v>865.15742654792211</v>
      </c>
      <c r="N49" s="4">
        <f t="shared" si="11"/>
        <v>259.54722796437665</v>
      </c>
      <c r="O49" s="1">
        <f t="shared" si="5"/>
        <v>216.15063879051442</v>
      </c>
      <c r="Q49">
        <v>45</v>
      </c>
      <c r="R49" s="4">
        <f>IF('Pricing Component 1'!$B$25*12&gt;=Q49,R48+S49,0)</f>
        <v>99494.277434638992</v>
      </c>
      <c r="S49" s="4">
        <f t="shared" si="6"/>
        <v>560.3109751867853</v>
      </c>
    </row>
    <row r="50" spans="1:19" x14ac:dyDescent="0.25">
      <c r="A50" s="9" t="s">
        <v>39</v>
      </c>
      <c r="B50" s="1">
        <f>B43</f>
        <v>1400</v>
      </c>
      <c r="C50" s="45">
        <f>B50</f>
        <v>1400</v>
      </c>
      <c r="E50">
        <v>46</v>
      </c>
      <c r="F50" s="4">
        <f>IF('Pricing Component 1'!$B$25*12&gt;=E50,F49+G50,0)</f>
        <v>132042.83765309493</v>
      </c>
      <c r="G50" s="4">
        <f t="shared" si="7"/>
        <v>934.54406511555396</v>
      </c>
      <c r="H50" s="4">
        <f t="shared" si="8"/>
        <v>280.3632195346662</v>
      </c>
      <c r="I50" s="1">
        <f t="shared" si="9"/>
        <v>232.53878131912697</v>
      </c>
      <c r="K50">
        <v>46</v>
      </c>
      <c r="L50" s="4">
        <f>IF('Pricing Component 1'!$B$25*12&gt;=K50,L49+M50,0)</f>
        <v>129811.98124877442</v>
      </c>
      <c r="M50" s="4">
        <f t="shared" si="10"/>
        <v>871.00160041092261</v>
      </c>
      <c r="N50" s="4">
        <f t="shared" si="11"/>
        <v>261.30048012327677</v>
      </c>
      <c r="O50" s="1">
        <f t="shared" si="5"/>
        <v>216.72776945142908</v>
      </c>
      <c r="Q50">
        <v>46</v>
      </c>
      <c r="R50" s="4">
        <f>IF('Pricing Component 1'!$B$25*12&gt;=Q50,R49+S50,0)</f>
        <v>100057.76172229015</v>
      </c>
      <c r="S50" s="4">
        <f t="shared" si="6"/>
        <v>563.48428765114943</v>
      </c>
    </row>
    <row r="51" spans="1:19" x14ac:dyDescent="0.25">
      <c r="A51" s="9" t="s">
        <v>40</v>
      </c>
      <c r="B51" s="1">
        <f>B44</f>
        <v>1610</v>
      </c>
      <c r="C51" s="45">
        <f>B51</f>
        <v>1610</v>
      </c>
      <c r="D51" s="1"/>
      <c r="E51">
        <v>47</v>
      </c>
      <c r="F51" s="4">
        <f>IF('Pricing Component 1'!$B$25*12&gt;=E51,F50+G51,0)</f>
        <v>132984.04317787671</v>
      </c>
      <c r="G51" s="4">
        <f t="shared" si="7"/>
        <v>941.2055247817699</v>
      </c>
      <c r="H51" s="4">
        <f t="shared" si="8"/>
        <v>282.36165743453097</v>
      </c>
      <c r="I51" s="1">
        <f t="shared" si="9"/>
        <v>233.24605182299581</v>
      </c>
      <c r="K51">
        <v>47</v>
      </c>
      <c r="L51" s="4">
        <f>IF('Pricing Component 1'!$B$25*12&gt;=K51,L50+M51,0)</f>
        <v>130688.86650068223</v>
      </c>
      <c r="M51" s="4">
        <f t="shared" si="10"/>
        <v>876.88525190781127</v>
      </c>
      <c r="N51" s="4">
        <f t="shared" si="11"/>
        <v>263.06557557234339</v>
      </c>
      <c r="O51" s="1">
        <f t="shared" si="5"/>
        <v>217.3064410737845</v>
      </c>
      <c r="Q51">
        <v>47</v>
      </c>
      <c r="R51" s="4">
        <f>IF('Pricing Component 1'!$B$25*12&gt;=Q51,R50+S51,0)</f>
        <v>100624.43729441128</v>
      </c>
      <c r="S51" s="4">
        <f t="shared" si="6"/>
        <v>566.67557212113627</v>
      </c>
    </row>
    <row r="52" spans="1:19" x14ac:dyDescent="0.25">
      <c r="A52" s="9"/>
      <c r="B52" s="1"/>
      <c r="C52" s="45"/>
      <c r="E52">
        <v>48</v>
      </c>
      <c r="F52" s="4">
        <f>IF('Pricing Component 1'!$B$25*12&gt;=E52,F51+G52,0)</f>
        <v>133931.95764541999</v>
      </c>
      <c r="G52" s="4">
        <f t="shared" si="7"/>
        <v>947.91446754326296</v>
      </c>
      <c r="H52" s="4">
        <f t="shared" si="8"/>
        <v>284.37434026297888</v>
      </c>
      <c r="I52" s="1">
        <f t="shared" si="9"/>
        <v>233.95547350166143</v>
      </c>
      <c r="K52">
        <v>48</v>
      </c>
      <c r="L52" s="4">
        <f>IF('Pricing Component 1'!$B$25*12&gt;=K52,L51+M52,0)</f>
        <v>131571.67514839384</v>
      </c>
      <c r="M52" s="4">
        <f t="shared" si="10"/>
        <v>882.8086477116226</v>
      </c>
      <c r="N52" s="4">
        <f t="shared" si="11"/>
        <v>264.84259431348676</v>
      </c>
      <c r="O52" s="1">
        <f t="shared" si="5"/>
        <v>217.88665777200796</v>
      </c>
      <c r="Q52">
        <v>48</v>
      </c>
      <c r="R52" s="4">
        <f>IF('Pricing Component 1'!$B$25*12&gt;=Q52,R51+S52,0)</f>
        <v>101194.32222479221</v>
      </c>
      <c r="S52" s="4">
        <f t="shared" si="6"/>
        <v>569.88493038091917</v>
      </c>
    </row>
    <row r="53" spans="1:19" x14ac:dyDescent="0.25">
      <c r="A53" s="9" t="s">
        <v>41</v>
      </c>
      <c r="B53" s="38">
        <f>B48-B50-B51-B52</f>
        <v>74704.88759999891</v>
      </c>
      <c r="C53" s="66">
        <f>C48-C50-C51-C52</f>
        <v>74704.88759999891</v>
      </c>
      <c r="E53">
        <v>49</v>
      </c>
      <c r="F53" s="4">
        <f>IF('Pricing Component 1'!$B$25*12&gt;=E53,F52+G53,0)</f>
        <v>134886.62887728104</v>
      </c>
      <c r="G53" s="4">
        <f t="shared" si="7"/>
        <v>954.67123186103879</v>
      </c>
      <c r="H53" s="4">
        <f t="shared" si="8"/>
        <v>286.40136955831161</v>
      </c>
      <c r="I53" s="1">
        <f t="shared" si="9"/>
        <v>234.66705289795706</v>
      </c>
      <c r="K53">
        <v>49</v>
      </c>
      <c r="L53" s="4">
        <f>IF('Pricing Component 1'!$B$25*12&gt;=K53,L52+M53,0)</f>
        <v>132460.44720469063</v>
      </c>
      <c r="M53" s="4">
        <f t="shared" si="10"/>
        <v>888.77205629677815</v>
      </c>
      <c r="N53" s="4">
        <f t="shared" si="11"/>
        <v>266.63161688903341</v>
      </c>
      <c r="O53" s="1">
        <f t="shared" si="5"/>
        <v>218.46842367151243</v>
      </c>
      <c r="Q53">
        <v>49</v>
      </c>
      <c r="R53" s="4">
        <f>IF('Pricing Component 1'!$B$25*12&gt;=Q53,R52+S53,0)</f>
        <v>101767.43468958333</v>
      </c>
      <c r="S53" s="4">
        <f t="shared" si="6"/>
        <v>573.11246479112458</v>
      </c>
    </row>
    <row r="54" spans="1:19" x14ac:dyDescent="0.25">
      <c r="A54" s="9"/>
      <c r="B54" s="1"/>
      <c r="C54" s="45"/>
      <c r="D54" s="1"/>
      <c r="E54">
        <v>50</v>
      </c>
      <c r="F54" s="4">
        <f>IF('Pricing Component 1'!$B$25*12&gt;=E54,F53+G54,0)</f>
        <v>135848.10503588969</v>
      </c>
      <c r="G54" s="4">
        <f t="shared" si="7"/>
        <v>961.4761586086637</v>
      </c>
      <c r="H54" s="4">
        <f t="shared" si="8"/>
        <v>288.44284758259909</v>
      </c>
      <c r="I54" s="1">
        <f t="shared" si="9"/>
        <v>235.38079657461623</v>
      </c>
      <c r="K54">
        <v>50</v>
      </c>
      <c r="L54" s="4">
        <f>IF('Pricing Component 1'!$B$25*12&gt;=K54,L53+M54,0)</f>
        <v>133355.2229526419</v>
      </c>
      <c r="M54" s="4">
        <f t="shared" si="10"/>
        <v>894.77574795125543</v>
      </c>
      <c r="N54" s="4">
        <f t="shared" si="11"/>
        <v>268.43272438537662</v>
      </c>
      <c r="O54" s="1">
        <f t="shared" si="5"/>
        <v>219.05174290872608</v>
      </c>
      <c r="Q54">
        <v>50</v>
      </c>
      <c r="R54" s="4">
        <f>IF('Pricing Component 1'!$B$25*12&gt;=Q54,R53+S54,0)</f>
        <v>102343.79296787543</v>
      </c>
      <c r="S54" s="4">
        <f t="shared" si="6"/>
        <v>576.35827829209666</v>
      </c>
    </row>
    <row r="55" spans="1:19" x14ac:dyDescent="0.25">
      <c r="A55" s="9" t="s">
        <v>61</v>
      </c>
      <c r="B55" s="1">
        <f>B53*30%</f>
        <v>22411.466279999673</v>
      </c>
      <c r="C55" s="45">
        <f>O89</f>
        <v>18073.740612073132</v>
      </c>
      <c r="E55">
        <v>51</v>
      </c>
      <c r="F55" s="4">
        <f>IF('Pricing Component 1'!$B$25*12&gt;=E55,F54+G55,0)</f>
        <v>136816.43462697914</v>
      </c>
      <c r="G55" s="4">
        <f t="shared" si="7"/>
        <v>968.32959108946136</v>
      </c>
      <c r="H55" s="4">
        <f t="shared" si="8"/>
        <v>290.4988773268384</v>
      </c>
      <c r="I55" s="1">
        <f t="shared" si="9"/>
        <v>236.09671111433298</v>
      </c>
      <c r="K55">
        <v>51</v>
      </c>
      <c r="L55" s="4">
        <f>IF('Pricing Component 1'!$B$25*12&gt;=K55,L54+M55,0)</f>
        <v>134256.04294743075</v>
      </c>
      <c r="M55" s="4">
        <f t="shared" si="10"/>
        <v>900.81999478883813</v>
      </c>
      <c r="N55" s="4">
        <f t="shared" si="11"/>
        <v>270.2459984366514</v>
      </c>
      <c r="O55" s="1">
        <f t="shared" si="5"/>
        <v>219.63661963112128</v>
      </c>
      <c r="Q55">
        <v>51</v>
      </c>
      <c r="R55" s="4">
        <f>IF('Pricing Component 1'!$B$25*12&gt;=Q55,R54+S55,0)</f>
        <v>102923.41544228261</v>
      </c>
      <c r="S55" s="4">
        <f t="shared" si="6"/>
        <v>579.62247440718102</v>
      </c>
    </row>
    <row r="56" spans="1:19" x14ac:dyDescent="0.25">
      <c r="A56" s="9"/>
      <c r="B56" s="1"/>
      <c r="C56" s="45"/>
      <c r="E56">
        <v>52</v>
      </c>
      <c r="F56" s="4">
        <f>IF('Pricing Component 1'!$B$25*12&gt;=E56,F55+G56,0)</f>
        <v>137791.66650203298</v>
      </c>
      <c r="G56" s="4">
        <f t="shared" si="7"/>
        <v>975.23187505383282</v>
      </c>
      <c r="H56" s="4">
        <f t="shared" si="8"/>
        <v>292.56956251614986</v>
      </c>
      <c r="I56" s="1">
        <f t="shared" si="9"/>
        <v>236.81480311982278</v>
      </c>
      <c r="K56">
        <v>52</v>
      </c>
      <c r="L56" s="4">
        <f>IF('Pricing Component 1'!$B$25*12&gt;=K56,L55+M56,0)</f>
        <v>135162.9480181922</v>
      </c>
      <c r="M56" s="4">
        <f t="shared" si="10"/>
        <v>906.90507076144968</v>
      </c>
      <c r="N56" s="4">
        <f t="shared" si="11"/>
        <v>272.0715212284349</v>
      </c>
      <c r="O56" s="1">
        <f t="shared" si="5"/>
        <v>220.22305799724441</v>
      </c>
      <c r="Q56">
        <v>52</v>
      </c>
      <c r="R56" s="4">
        <f>IF('Pricing Component 1'!$B$25*12&gt;=Q56,R55+S56,0)</f>
        <v>103506.32059952864</v>
      </c>
      <c r="S56" s="4">
        <f t="shared" si="6"/>
        <v>582.90515724602551</v>
      </c>
    </row>
    <row r="57" spans="1:19" ht="15.75" thickBot="1" x14ac:dyDescent="0.3">
      <c r="A57" s="9" t="s">
        <v>69</v>
      </c>
      <c r="B57" s="35">
        <f>B48-B55</f>
        <v>55303.421319999237</v>
      </c>
      <c r="C57" s="48">
        <f>C48-C55</f>
        <v>59641.146987925778</v>
      </c>
      <c r="E57">
        <v>53</v>
      </c>
      <c r="F57" s="4">
        <f>IF('Pricing Component 1'!$B$25*12&gt;=E57,F56+G57,0)</f>
        <v>138773.84986074967</v>
      </c>
      <c r="G57" s="4">
        <f t="shared" si="7"/>
        <v>982.18335871669888</v>
      </c>
      <c r="H57" s="4">
        <f t="shared" si="8"/>
        <v>294.65500761500965</v>
      </c>
      <c r="I57" s="1">
        <f t="shared" si="9"/>
        <v>237.53507921388342</v>
      </c>
      <c r="K57">
        <v>53</v>
      </c>
      <c r="L57" s="4">
        <f>IF('Pricing Component 1'!$B$25*12&gt;=K57,L56+M57,0)</f>
        <v>136075.97926986378</v>
      </c>
      <c r="M57" s="4">
        <f t="shared" si="10"/>
        <v>913.03125167156986</v>
      </c>
      <c r="N57" s="4">
        <f t="shared" si="11"/>
        <v>273.90937550147095</v>
      </c>
      <c r="O57" s="1">
        <f t="shared" si="5"/>
        <v>220.81106217674525</v>
      </c>
      <c r="Q57">
        <v>53</v>
      </c>
      <c r="R57" s="4">
        <f>IF('Pricing Component 1'!$B$25*12&gt;=Q57,R56+S57,0)</f>
        <v>104092.52703103654</v>
      </c>
      <c r="S57" s="4">
        <f t="shared" si="6"/>
        <v>586.20643150790193</v>
      </c>
    </row>
    <row r="58" spans="1:19" x14ac:dyDescent="0.25">
      <c r="A58" s="9"/>
      <c r="C58" s="41"/>
      <c r="E58">
        <v>54</v>
      </c>
      <c r="F58" s="4">
        <f>IF('Pricing Component 1'!$B$25*12&gt;=E58,F57+G58,0)</f>
        <v>139763.03425352473</v>
      </c>
      <c r="G58" s="4">
        <f t="shared" si="7"/>
        <v>989.18439277506684</v>
      </c>
      <c r="H58" s="4">
        <f t="shared" si="8"/>
        <v>296.75531783252006</v>
      </c>
      <c r="I58" s="1">
        <f t="shared" si="9"/>
        <v>238.25754603945595</v>
      </c>
      <c r="K58">
        <v>54</v>
      </c>
      <c r="L58" s="4">
        <f>IF('Pricing Component 1'!$B$25*12&gt;=K58,L57+M58,0)</f>
        <v>136995.17808504851</v>
      </c>
      <c r="M58" s="4">
        <f t="shared" si="10"/>
        <v>919.19881518473596</v>
      </c>
      <c r="N58" s="4">
        <f t="shared" si="11"/>
        <v>275.75964455542078</v>
      </c>
      <c r="O58" s="1">
        <f t="shared" si="5"/>
        <v>221.40063635040681</v>
      </c>
      <c r="Q58">
        <v>54</v>
      </c>
      <c r="R58" s="4">
        <f>IF('Pricing Component 1'!$B$25*12&gt;=Q58,R57+S58,0)</f>
        <v>104682.05343352159</v>
      </c>
      <c r="S58" s="4">
        <f t="shared" si="6"/>
        <v>589.52640248504429</v>
      </c>
    </row>
    <row r="59" spans="1:19" x14ac:dyDescent="0.25">
      <c r="A59" s="9" t="s">
        <v>64</v>
      </c>
      <c r="B59" s="1"/>
      <c r="C59" s="45">
        <f>R89</f>
        <v>124008.84685524166</v>
      </c>
      <c r="E59">
        <v>55</v>
      </c>
      <c r="F59" s="4">
        <f>IF('Pricing Component 1'!$B$25*12&gt;=E59,F58+G59,0)</f>
        <v>140759.26958395046</v>
      </c>
      <c r="G59" s="4">
        <f t="shared" si="7"/>
        <v>996.23533042572376</v>
      </c>
      <c r="H59" s="4">
        <f t="shared" si="8"/>
        <v>298.87059912771713</v>
      </c>
      <c r="I59" s="1">
        <f t="shared" si="9"/>
        <v>238.98221025968601</v>
      </c>
      <c r="K59">
        <v>55</v>
      </c>
      <c r="L59" s="4">
        <f>IF('Pricing Component 1'!$B$25*12&gt;=K59,L58+M59,0)</f>
        <v>137920.58612589064</v>
      </c>
      <c r="M59" s="4">
        <f t="shared" si="10"/>
        <v>925.40804084212675</v>
      </c>
      <c r="N59" s="4">
        <f t="shared" si="11"/>
        <v>277.62241225263801</v>
      </c>
      <c r="O59" s="1">
        <f t="shared" si="5"/>
        <v>221.9917847101749</v>
      </c>
      <c r="Q59">
        <v>55</v>
      </c>
      <c r="R59" s="4">
        <f>IF('Pricing Component 1'!$B$25*12&gt;=Q59,R58+S59,0)</f>
        <v>105274.91860958761</v>
      </c>
      <c r="S59" s="4">
        <f t="shared" si="6"/>
        <v>592.86517606600785</v>
      </c>
    </row>
    <row r="60" spans="1:19" x14ac:dyDescent="0.25">
      <c r="A60" s="9"/>
      <c r="C60" s="41"/>
      <c r="E60">
        <v>56</v>
      </c>
      <c r="F60" s="4">
        <f>IF('Pricing Component 1'!$B$25*12&gt;=E60,F59+G60,0)</f>
        <v>141762.6061113335</v>
      </c>
      <c r="G60" s="4">
        <f t="shared" si="7"/>
        <v>1003.3365273830545</v>
      </c>
      <c r="H60" s="4">
        <f t="shared" si="8"/>
        <v>301.00095821491635</v>
      </c>
      <c r="I60" s="1">
        <f t="shared" si="9"/>
        <v>239.70907855798538</v>
      </c>
      <c r="K60">
        <v>56</v>
      </c>
      <c r="L60" s="4">
        <f>IF('Pricing Component 1'!$B$25*12&gt;=K60,L59+M60,0)</f>
        <v>138852.24533596387</v>
      </c>
      <c r="M60" s="4">
        <f t="shared" si="10"/>
        <v>931.65921007323368</v>
      </c>
      <c r="N60" s="4">
        <f t="shared" si="11"/>
        <v>279.49776302197012</v>
      </c>
      <c r="O60" s="1">
        <f t="shared" si="5"/>
        <v>222.58451145918798</v>
      </c>
      <c r="Q60">
        <v>56</v>
      </c>
      <c r="R60" s="4">
        <f>IF('Pricing Component 1'!$B$25*12&gt;=Q60,R59+S60,0)</f>
        <v>105871.14146832665</v>
      </c>
      <c r="S60" s="4">
        <f t="shared" si="6"/>
        <v>596.22285873904593</v>
      </c>
    </row>
    <row r="61" spans="1:19" x14ac:dyDescent="0.25">
      <c r="A61" t="s">
        <v>119</v>
      </c>
      <c r="C61" s="45">
        <f>C46-C55</f>
        <v>77166.259387926868</v>
      </c>
      <c r="E61">
        <v>57</v>
      </c>
      <c r="F61" s="4">
        <f>IF('Pricing Component 1'!$B$25*12&gt;=E61,F60+G61,0)</f>
        <v>142773.0944532305</v>
      </c>
      <c r="G61" s="4">
        <f t="shared" si="7"/>
        <v>1010.4883418969873</v>
      </c>
      <c r="H61" s="4">
        <f t="shared" si="8"/>
        <v>303.14650256909619</v>
      </c>
      <c r="I61" s="1">
        <f t="shared" si="9"/>
        <v>240.4381576380936</v>
      </c>
      <c r="K61">
        <v>57</v>
      </c>
      <c r="L61" s="4">
        <f>IF('Pricing Component 1'!$B$25*12&gt;=K61,L60+M61,0)</f>
        <v>139790.1979421725</v>
      </c>
      <c r="M61" s="4">
        <f t="shared" si="10"/>
        <v>937.95260620861552</v>
      </c>
      <c r="N61" s="4">
        <f t="shared" si="11"/>
        <v>281.38578186258462</v>
      </c>
      <c r="O61" s="1">
        <f t="shared" si="5"/>
        <v>223.17882081180713</v>
      </c>
      <c r="Q61">
        <v>57</v>
      </c>
      <c r="R61" s="4">
        <f>IF('Pricing Component 1'!$B$25*12&gt;=Q61,R60+S61,0)</f>
        <v>106470.74102592215</v>
      </c>
      <c r="S61" s="4">
        <f t="shared" si="6"/>
        <v>599.59955759550633</v>
      </c>
    </row>
    <row r="62" spans="1:19" x14ac:dyDescent="0.25">
      <c r="C62" s="41"/>
      <c r="E62">
        <v>58</v>
      </c>
      <c r="F62" s="4">
        <f>IF('Pricing Component 1'!$B$25*12&gt;=E62,F61+G62,0)</f>
        <v>143790.78558800157</v>
      </c>
      <c r="G62" s="4">
        <f t="shared" si="7"/>
        <v>1017.6911347710674</v>
      </c>
      <c r="H62" s="4">
        <f t="shared" si="8"/>
        <v>305.3073404313202</v>
      </c>
      <c r="I62" s="1">
        <f t="shared" si="9"/>
        <v>241.16945422413968</v>
      </c>
      <c r="K62">
        <v>58</v>
      </c>
      <c r="L62" s="4">
        <f>IF('Pricing Component 1'!$B$25*12&gt;=K62,L61+M62,0)</f>
        <v>140734.48645666524</v>
      </c>
      <c r="M62" s="4">
        <f t="shared" si="10"/>
        <v>944.28851449274089</v>
      </c>
      <c r="N62" s="4">
        <f t="shared" si="11"/>
        <v>283.28655434782223</v>
      </c>
      <c r="O62" s="1">
        <f t="shared" si="5"/>
        <v>223.77471699364585</v>
      </c>
      <c r="Q62">
        <v>58</v>
      </c>
      <c r="R62" s="4">
        <f>IF('Pricing Component 1'!$B$25*12&gt;=Q62,R61+S62,0)</f>
        <v>107073.7364062554</v>
      </c>
      <c r="S62" s="4">
        <f t="shared" si="6"/>
        <v>602.99538033324723</v>
      </c>
    </row>
    <row r="63" spans="1:19" x14ac:dyDescent="0.25">
      <c r="A63" s="75" t="s">
        <v>75</v>
      </c>
      <c r="C63" s="41"/>
      <c r="E63">
        <v>59</v>
      </c>
      <c r="F63" s="4">
        <f>IF('Pricing Component 1'!$B$25*12&gt;=E63,F62+G63,0)</f>
        <v>144815.73085738224</v>
      </c>
      <c r="G63" s="4">
        <f t="shared" si="7"/>
        <v>1024.9452693806586</v>
      </c>
      <c r="H63" s="4">
        <f t="shared" si="8"/>
        <v>307.48358081419758</v>
      </c>
      <c r="I63" s="1">
        <f t="shared" si="9"/>
        <v>241.90297506070411</v>
      </c>
      <c r="K63">
        <v>59</v>
      </c>
      <c r="L63" s="4">
        <f>IF('Pricing Component 1'!$B$25*12&gt;=K63,L62+M63,0)</f>
        <v>141685.15367876214</v>
      </c>
      <c r="M63" s="4">
        <f t="shared" si="10"/>
        <v>950.66722209691625</v>
      </c>
      <c r="N63" s="4">
        <f t="shared" si="11"/>
        <v>285.20016662907489</v>
      </c>
      <c r="O63" s="1">
        <f t="shared" si="5"/>
        <v>224.37220424160031</v>
      </c>
      <c r="Q63">
        <v>59</v>
      </c>
      <c r="R63" s="4">
        <f>IF('Pricing Component 1'!$B$25*12&gt;=Q63,R62+S63,0)</f>
        <v>107680.14684151547</v>
      </c>
      <c r="S63" s="4">
        <f t="shared" si="6"/>
        <v>606.41043526007184</v>
      </c>
    </row>
    <row r="64" spans="1:19" x14ac:dyDescent="0.25">
      <c r="C64" s="41"/>
      <c r="E64">
        <v>60</v>
      </c>
      <c r="F64" s="4">
        <f>IF('Pricing Component 1'!$B$25*12&gt;=E64,F63+G64,0)</f>
        <v>145847.9819690735</v>
      </c>
      <c r="G64" s="4">
        <f t="shared" si="7"/>
        <v>1032.2511116912765</v>
      </c>
      <c r="H64" s="4">
        <f t="shared" si="8"/>
        <v>309.67533350738296</v>
      </c>
      <c r="I64" s="1">
        <f t="shared" si="9"/>
        <v>242.63872691288128</v>
      </c>
      <c r="K64">
        <v>60</v>
      </c>
      <c r="L64" s="4">
        <f>IF('Pricing Component 1'!$B$25*12&gt;=K64,L63+M64,0)</f>
        <v>142642.24269689445</v>
      </c>
      <c r="M64" s="4">
        <f t="shared" si="10"/>
        <v>957.08901813230193</v>
      </c>
      <c r="N64" s="4">
        <f t="shared" si="11"/>
        <v>287.12670543969057</v>
      </c>
      <c r="O64" s="1">
        <f t="shared" si="5"/>
        <v>224.97128680387917</v>
      </c>
      <c r="Q64">
        <v>60</v>
      </c>
      <c r="R64" s="4">
        <f>IF('Pricing Component 1'!$B$25*12&gt;=Q64,R63+S64,0)</f>
        <v>108289.99167281266</v>
      </c>
      <c r="S64" s="4">
        <f t="shared" si="6"/>
        <v>609.84483129718274</v>
      </c>
    </row>
    <row r="65" spans="1:19" x14ac:dyDescent="0.25">
      <c r="A65" s="9" t="s">
        <v>60</v>
      </c>
      <c r="B65" s="36">
        <f>B53/C7</f>
        <v>0.76035509007632474</v>
      </c>
      <c r="C65" s="67">
        <f>C53/C7</f>
        <v>0.76035509007632474</v>
      </c>
      <c r="E65">
        <v>61</v>
      </c>
      <c r="F65" s="4">
        <f>IF('Pricing Component 1'!$B$25*12&gt;=E65,F64+G65,0)</f>
        <v>146887.59099935056</v>
      </c>
      <c r="G65" s="4">
        <f t="shared" si="7"/>
        <v>1039.6090302770497</v>
      </c>
      <c r="H65" s="4">
        <f t="shared" si="8"/>
        <v>311.88270908311489</v>
      </c>
      <c r="I65" s="1">
        <f t="shared" si="9"/>
        <v>243.37671656634143</v>
      </c>
      <c r="K65">
        <v>61</v>
      </c>
      <c r="L65" s="4">
        <f>IF('Pricing Component 1'!$B$25*12&gt;=K65,L64+M65,0)</f>
        <v>143605.79689055745</v>
      </c>
      <c r="M65" s="4">
        <f t="shared" si="10"/>
        <v>963.55419366301646</v>
      </c>
      <c r="N65" s="4">
        <f t="shared" si="11"/>
        <v>289.06625809890494</v>
      </c>
      <c r="O65" s="1">
        <f t="shared" si="5"/>
        <v>225.57196894003411</v>
      </c>
      <c r="Q65">
        <v>61</v>
      </c>
      <c r="R65" s="4">
        <f>IF('Pricing Component 1'!$B$25*12&gt;=Q65,R64+S65,0)</f>
        <v>108903.29035079532</v>
      </c>
      <c r="S65" s="4">
        <f t="shared" si="6"/>
        <v>613.2986779826565</v>
      </c>
    </row>
    <row r="66" spans="1:19" x14ac:dyDescent="0.25">
      <c r="B66" s="36"/>
      <c r="C66" s="67"/>
      <c r="E66">
        <v>62</v>
      </c>
      <c r="F66" s="4">
        <f>IF('Pricing Component 1'!$B$25*12&gt;=E66,F65+G66,0)</f>
        <v>147934.61039568987</v>
      </c>
      <c r="G66" s="4">
        <f t="shared" si="7"/>
        <v>1047.0193963393158</v>
      </c>
      <c r="H66" s="4">
        <f t="shared" si="8"/>
        <v>314.10581890179475</v>
      </c>
      <c r="I66" s="1">
        <f t="shared" si="9"/>
        <v>244.11695082739402</v>
      </c>
      <c r="K66">
        <v>62</v>
      </c>
      <c r="L66" s="4">
        <f>IF('Pricing Component 1'!$B$25*12&gt;=K66,L65+M66,0)</f>
        <v>144575.85993227677</v>
      </c>
      <c r="M66" s="4">
        <f t="shared" si="10"/>
        <v>970.06304171932777</v>
      </c>
      <c r="N66" s="4">
        <f t="shared" si="11"/>
        <v>291.01891251579832</v>
      </c>
      <c r="O66" s="1">
        <f t="shared" si="5"/>
        <v>226.17425492098991</v>
      </c>
      <c r="Q66">
        <v>62</v>
      </c>
      <c r="R66" s="4">
        <f>IF('Pricing Component 1'!$B$25*12&gt;=Q66,R65+S66,0)</f>
        <v>109520.06243627025</v>
      </c>
      <c r="S66" s="4">
        <f t="shared" si="6"/>
        <v>616.77208547493638</v>
      </c>
    </row>
    <row r="67" spans="1:19" x14ac:dyDescent="0.25">
      <c r="A67" s="9" t="s">
        <v>112</v>
      </c>
      <c r="B67" s="36">
        <f>B65/nfi</f>
        <v>0.10862215572518925</v>
      </c>
      <c r="C67" s="67">
        <f>C65/nfi</f>
        <v>0.10862215572518925</v>
      </c>
      <c r="E67">
        <v>63</v>
      </c>
      <c r="F67" s="4">
        <f>IF('Pricing Component 1'!$B$25*12&gt;=E67,F66+G67,0)</f>
        <v>148989.09297941523</v>
      </c>
      <c r="G67" s="4">
        <f t="shared" si="7"/>
        <v>1054.4825837253461</v>
      </c>
      <c r="H67" s="4">
        <f t="shared" si="8"/>
        <v>316.34477511760383</v>
      </c>
      <c r="I67" s="1">
        <f t="shared" si="9"/>
        <v>244.85943652304948</v>
      </c>
      <c r="K67">
        <v>63</v>
      </c>
      <c r="L67" s="4">
        <f>IF('Pricing Component 1'!$B$25*12&gt;=K67,L66+M67,0)</f>
        <v>145552.47578958771</v>
      </c>
      <c r="M67" s="4">
        <f t="shared" si="10"/>
        <v>976.61585731093578</v>
      </c>
      <c r="N67" s="4">
        <f t="shared" si="11"/>
        <v>292.9847571932807</v>
      </c>
      <c r="O67" s="1">
        <f t="shared" si="5"/>
        <v>226.77814902907502</v>
      </c>
      <c r="Q67">
        <v>63</v>
      </c>
      <c r="R67" s="4">
        <f>IF('Pricing Component 1'!$B$25*12&gt;=Q67,R66+S67,0)</f>
        <v>110140.3276008266</v>
      </c>
      <c r="S67" s="4">
        <f t="shared" si="6"/>
        <v>620.26516455634658</v>
      </c>
    </row>
    <row r="68" spans="1:19" x14ac:dyDescent="0.25">
      <c r="B68" s="36"/>
      <c r="C68" s="67"/>
      <c r="E68">
        <v>64</v>
      </c>
      <c r="F68" s="4">
        <f>IF('Pricing Component 1'!$B$25*12&gt;=E68,F67+G68,0)</f>
        <v>150051.09194836245</v>
      </c>
      <c r="G68" s="4">
        <f t="shared" si="7"/>
        <v>1061.9989689472081</v>
      </c>
      <c r="H68" s="4">
        <f t="shared" si="8"/>
        <v>318.59969068416245</v>
      </c>
      <c r="I68" s="1">
        <f t="shared" si="9"/>
        <v>245.60418050108316</v>
      </c>
      <c r="K68">
        <v>64</v>
      </c>
      <c r="L68" s="4">
        <f>IF('Pricing Component 1'!$B$25*12&gt;=K68,L67+M68,0)</f>
        <v>146535.68872702806</v>
      </c>
      <c r="M68" s="4">
        <f t="shared" si="10"/>
        <v>983.21293744034301</v>
      </c>
      <c r="N68" s="4">
        <f t="shared" si="11"/>
        <v>294.96388123210289</v>
      </c>
      <c r="O68" s="1">
        <f t="shared" si="5"/>
        <v>227.38365555805186</v>
      </c>
      <c r="Q68">
        <v>64</v>
      </c>
      <c r="R68" s="4">
        <f>IF('Pricing Component 1'!$B$25*12&gt;=Q68,R67+S68,0)</f>
        <v>110764.10562746323</v>
      </c>
      <c r="S68" s="4">
        <f t="shared" si="6"/>
        <v>623.7780266366251</v>
      </c>
    </row>
    <row r="69" spans="1:19" x14ac:dyDescent="0.25">
      <c r="A69" s="75" t="s">
        <v>74</v>
      </c>
      <c r="B69" s="36"/>
      <c r="C69" s="67"/>
      <c r="E69">
        <v>65</v>
      </c>
      <c r="F69" s="4">
        <f>IF('Pricing Component 1'!$B$25*12&gt;=E69,F68+G69,0)</f>
        <v>151120.66087956319</v>
      </c>
      <c r="G69" s="4">
        <f t="shared" ref="G69:G88" si="12">IF($B$11*12&gt;=E69,F68*($B$15-1),0)</f>
        <v>1069.5689312007589</v>
      </c>
      <c r="H69" s="4">
        <f t="shared" ref="H69" si="13">G69*$B$75</f>
        <v>320.87067936022765</v>
      </c>
      <c r="I69" s="1">
        <f t="shared" si="9"/>
        <v>246.35118963009762</v>
      </c>
      <c r="K69">
        <v>65</v>
      </c>
      <c r="L69" s="4">
        <f>IF('Pricing Component 1'!$B$25*12&gt;=K69,L68+M69,0)</f>
        <v>147525.54330814438</v>
      </c>
      <c r="M69" s="4">
        <f t="shared" ref="M69:M88" si="14">IF($B$11*12&gt;=K69,L68*($B$22-1),0)</f>
        <v>989.85458111631556</v>
      </c>
      <c r="N69" s="4">
        <f t="shared" ref="N69" si="15">M69*$B$75</f>
        <v>296.95637433489463</v>
      </c>
      <c r="O69" s="1">
        <f t="shared" si="5"/>
        <v>227.99077881314702</v>
      </c>
      <c r="Q69">
        <v>65</v>
      </c>
      <c r="R69" s="4">
        <f>IF('Pricing Component 1'!$B$25*12&gt;=Q69,R68+S69,0)</f>
        <v>111391.4164112197</v>
      </c>
      <c r="S69" s="4">
        <f t="shared" si="6"/>
        <v>627.31078375647746</v>
      </c>
    </row>
    <row r="70" spans="1:19" x14ac:dyDescent="0.25">
      <c r="B70" s="36"/>
      <c r="C70" s="67"/>
      <c r="E70">
        <v>66</v>
      </c>
      <c r="F70" s="4">
        <f>IF('Pricing Component 1'!$B$25*12&gt;=E70,F69+G70,0)</f>
        <v>152197.85373194798</v>
      </c>
      <c r="G70" s="4">
        <f t="shared" si="12"/>
        <v>1077.1928523847755</v>
      </c>
      <c r="H70" s="4">
        <f t="shared" ref="H70:H88" si="16">G70*$B$75</f>
        <v>323.15785571543262</v>
      </c>
      <c r="I70" s="1">
        <f t="shared" si="9"/>
        <v>247.1004707995867</v>
      </c>
      <c r="K70">
        <v>66</v>
      </c>
      <c r="L70" s="4">
        <f>IF('Pricing Component 1'!$B$25*12&gt;=K70,L69+M70,0)</f>
        <v>148522.08439751182</v>
      </c>
      <c r="M70" s="4">
        <f t="shared" si="14"/>
        <v>996.54108936743648</v>
      </c>
      <c r="N70" s="4">
        <f t="shared" ref="N70:N88" si="17">M70*$B$75</f>
        <v>298.96232681023093</v>
      </c>
      <c r="O70" s="1">
        <f t="shared" ref="O70:O88" si="18">N70*(1+rfr)^(-K70/12)</f>
        <v>228.5995231110827</v>
      </c>
      <c r="Q70">
        <v>66</v>
      </c>
      <c r="R70" s="4">
        <f>IF('Pricing Component 1'!$B$25*12&gt;=Q70,R69+S70,0)</f>
        <v>112022.27995981085</v>
      </c>
      <c r="S70" s="4">
        <f t="shared" si="6"/>
        <v>630.86354859114954</v>
      </c>
    </row>
    <row r="71" spans="1:19" x14ac:dyDescent="0.25">
      <c r="A71" s="9" t="s">
        <v>60</v>
      </c>
      <c r="B71" s="36">
        <f>(B57/C7)</f>
        <v>0.56288469536894903</v>
      </c>
      <c r="C71" s="67">
        <f>(C57/C7)</f>
        <v>0.60703457494072044</v>
      </c>
      <c r="E71">
        <v>67</v>
      </c>
      <c r="F71" s="4">
        <f>IF('Pricing Component 1'!$B$25*12&gt;=E71,F70+G71,0)</f>
        <v>153282.72484906821</v>
      </c>
      <c r="G71" s="4">
        <f t="shared" si="12"/>
        <v>1084.8711171202215</v>
      </c>
      <c r="H71" s="4">
        <f t="shared" si="16"/>
        <v>325.46133513606645</v>
      </c>
      <c r="I71" s="1">
        <f t="shared" si="9"/>
        <v>247.85203091999867</v>
      </c>
      <c r="K71">
        <v>67</v>
      </c>
      <c r="L71" s="4">
        <f>IF('Pricing Component 1'!$B$25*12&gt;=K71,L70+M71,0)</f>
        <v>149525.35716276756</v>
      </c>
      <c r="M71" s="4">
        <f t="shared" si="14"/>
        <v>1003.2727652557491</v>
      </c>
      <c r="N71" s="4">
        <f t="shared" si="17"/>
        <v>300.98182957672469</v>
      </c>
      <c r="O71" s="1">
        <f t="shared" si="18"/>
        <v>229.20989278010663</v>
      </c>
      <c r="Q71">
        <v>67</v>
      </c>
      <c r="R71" s="4">
        <f>IF('Pricing Component 1'!$B$25*12&gt;=Q71,R70+S71,0)</f>
        <v>112656.71639426488</v>
      </c>
      <c r="S71" s="4">
        <f t="shared" ref="S71:S88" si="19">IF($B$11*12&gt;=Q71,R70*($C$29-1),0)</f>
        <v>634.43643445402233</v>
      </c>
    </row>
    <row r="72" spans="1:19" x14ac:dyDescent="0.25">
      <c r="A72" s="9"/>
      <c r="C72" s="41"/>
      <c r="E72">
        <v>68</v>
      </c>
      <c r="F72" s="4">
        <f>IF('Pricing Component 1'!$B$25*12&gt;=E72,F71+G72,0)</f>
        <v>154375.32896183786</v>
      </c>
      <c r="G72" s="4">
        <f t="shared" si="12"/>
        <v>1092.6041127696512</v>
      </c>
      <c r="H72" s="4">
        <f t="shared" si="16"/>
        <v>327.78123383089536</v>
      </c>
      <c r="I72" s="1">
        <f t="shared" si="9"/>
        <v>248.60587692279998</v>
      </c>
      <c r="K72">
        <v>68</v>
      </c>
      <c r="L72" s="4">
        <f>IF('Pricing Component 1'!$B$25*12&gt;=K72,L71+M72,0)</f>
        <v>150535.40707665804</v>
      </c>
      <c r="M72" s="4">
        <f t="shared" si="14"/>
        <v>1010.0499138904929</v>
      </c>
      <c r="N72" s="4">
        <f t="shared" si="17"/>
        <v>303.01497416714784</v>
      </c>
      <c r="O72" s="1">
        <f t="shared" si="18"/>
        <v>229.82189216002317</v>
      </c>
      <c r="Q72">
        <v>68</v>
      </c>
      <c r="R72" s="4">
        <f>IF('Pricing Component 1'!$B$25*12&gt;=Q72,R71+S72,0)</f>
        <v>113294.7459495651</v>
      </c>
      <c r="S72" s="4">
        <f t="shared" si="19"/>
        <v>638.02955530022484</v>
      </c>
    </row>
    <row r="73" spans="1:19" x14ac:dyDescent="0.25">
      <c r="A73" s="9" t="s">
        <v>112</v>
      </c>
      <c r="B73" s="36">
        <f>B71/nfi</f>
        <v>8.0412099338421292E-2</v>
      </c>
      <c r="C73" s="67">
        <f>C71/nfi</f>
        <v>8.6719224991531493E-2</v>
      </c>
      <c r="E73">
        <v>69</v>
      </c>
      <c r="F73" s="4">
        <f>IF('Pricing Component 1'!$B$25*12&gt;=E73,F72+G73,0)</f>
        <v>155475.72119129461</v>
      </c>
      <c r="G73" s="4">
        <f t="shared" si="12"/>
        <v>1100.392229456751</v>
      </c>
      <c r="H73" s="4">
        <f t="shared" si="16"/>
        <v>330.11766883702529</v>
      </c>
      <c r="I73" s="1">
        <f t="shared" si="9"/>
        <v>249.36201576053918</v>
      </c>
      <c r="K73">
        <v>69</v>
      </c>
      <c r="L73" s="4">
        <f>IF('Pricing Component 1'!$B$25*12&gt;=K73,L72+M73,0)</f>
        <v>151552.27991909996</v>
      </c>
      <c r="M73" s="4">
        <f t="shared" si="14"/>
        <v>1016.8728424419334</v>
      </c>
      <c r="N73" s="4">
        <f t="shared" si="17"/>
        <v>305.06185273258001</v>
      </c>
      <c r="O73" s="1">
        <f t="shared" si="18"/>
        <v>230.43552560222417</v>
      </c>
      <c r="Q73">
        <v>69</v>
      </c>
      <c r="R73" s="4">
        <f>IF('Pricing Component 1'!$B$25*12&gt;=Q73,R72+S73,0)</f>
        <v>113936.38897529537</v>
      </c>
      <c r="S73" s="4">
        <f t="shared" si="19"/>
        <v>641.64302573026953</v>
      </c>
    </row>
    <row r="74" spans="1:19" x14ac:dyDescent="0.25">
      <c r="B74" s="36"/>
      <c r="C74" s="67"/>
      <c r="E74">
        <v>70</v>
      </c>
      <c r="F74" s="4">
        <f>IF('Pricing Component 1'!$B$25*12&gt;=E74,F73+G74,0)</f>
        <v>156583.95705138062</v>
      </c>
      <c r="G74" s="4">
        <f t="shared" si="12"/>
        <v>1108.2358600860216</v>
      </c>
      <c r="H74" s="4">
        <f t="shared" si="16"/>
        <v>332.47075802580645</v>
      </c>
      <c r="I74" s="1">
        <f t="shared" si="9"/>
        <v>250.12045440691134</v>
      </c>
      <c r="K74">
        <v>70</v>
      </c>
      <c r="L74" s="4">
        <f>IF('Pricing Component 1'!$B$25*12&gt;=K74,L73+M74,0)</f>
        <v>152576.02177925524</v>
      </c>
      <c r="M74" s="4">
        <f t="shared" si="14"/>
        <v>1023.7418601552835</v>
      </c>
      <c r="N74" s="4">
        <f t="shared" si="17"/>
        <v>307.12255804658503</v>
      </c>
      <c r="O74" s="1">
        <f t="shared" si="18"/>
        <v>231.05079746971987</v>
      </c>
      <c r="Q74">
        <v>70</v>
      </c>
      <c r="R74" s="4">
        <f>IF('Pricing Component 1'!$B$25*12&gt;=Q74,R73+S74,0)</f>
        <v>114581.66593628908</v>
      </c>
      <c r="S74" s="4">
        <f t="shared" si="19"/>
        <v>645.27696099370678</v>
      </c>
    </row>
    <row r="75" spans="1:19" ht="15.75" thickBot="1" x14ac:dyDescent="0.3">
      <c r="A75" s="52" t="s">
        <v>67</v>
      </c>
      <c r="B75" s="42">
        <f>B55/B53</f>
        <v>0.3</v>
      </c>
      <c r="C75" s="68">
        <f>C55/C53</f>
        <v>0.24193518245884352</v>
      </c>
      <c r="E75">
        <v>71</v>
      </c>
      <c r="F75" s="4">
        <f>IF('Pricing Component 1'!$B$25*12&gt;=E75,F74+G75,0)</f>
        <v>157700.09245174323</v>
      </c>
      <c r="G75" s="4">
        <f t="shared" si="12"/>
        <v>1116.1354003625993</v>
      </c>
      <c r="H75" s="4">
        <f t="shared" si="16"/>
        <v>334.84062010877977</v>
      </c>
      <c r="I75" s="1">
        <f t="shared" si="9"/>
        <v>250.88119985682189</v>
      </c>
      <c r="K75">
        <v>71</v>
      </c>
      <c r="L75" s="4">
        <f>IF('Pricing Component 1'!$B$25*12&gt;=K75,L74+M75,0)</f>
        <v>153606.67905761997</v>
      </c>
      <c r="M75" s="4">
        <f t="shared" si="14"/>
        <v>1030.6572783647202</v>
      </c>
      <c r="N75" s="4">
        <f t="shared" si="17"/>
        <v>309.19718350941605</v>
      </c>
      <c r="O75" s="1">
        <f t="shared" si="18"/>
        <v>231.66771213716987</v>
      </c>
      <c r="Q75">
        <v>71</v>
      </c>
      <c r="R75" s="4">
        <f>IF('Pricing Component 1'!$B$25*12&gt;=Q75,R74+S75,0)</f>
        <v>115230.59741328188</v>
      </c>
      <c r="S75" s="4">
        <f t="shared" si="19"/>
        <v>648.93147699280132</v>
      </c>
    </row>
    <row r="76" spans="1:19" x14ac:dyDescent="0.25">
      <c r="E76">
        <v>72</v>
      </c>
      <c r="F76" s="4">
        <f>IF('Pricing Component 1'!$B$25*12&gt;=E76,F75+G76,0)</f>
        <v>158824.18370055544</v>
      </c>
      <c r="G76" s="4">
        <f t="shared" si="12"/>
        <v>1124.0912488122192</v>
      </c>
      <c r="H76" s="4">
        <f t="shared" si="16"/>
        <v>337.22737464366577</v>
      </c>
      <c r="I76" s="1">
        <f t="shared" si="9"/>
        <v>251.64425912645166</v>
      </c>
      <c r="K76">
        <v>72</v>
      </c>
      <c r="L76" s="4">
        <f>IF('Pricing Component 1'!$B$25*12&gt;=K76,L75+M76,0)</f>
        <v>154644.29846812747</v>
      </c>
      <c r="M76" s="4">
        <f t="shared" si="14"/>
        <v>1037.6194105074958</v>
      </c>
      <c r="N76" s="4">
        <f t="shared" si="17"/>
        <v>311.28582315224872</v>
      </c>
      <c r="O76" s="1">
        <f t="shared" si="18"/>
        <v>232.2862739909144</v>
      </c>
      <c r="Q76">
        <v>72</v>
      </c>
      <c r="R76" s="4">
        <f>IF('Pricing Component 1'!$B$25*12&gt;=Q76,R75+S76,0)</f>
        <v>115883.2041035681</v>
      </c>
      <c r="S76" s="4">
        <f t="shared" si="19"/>
        <v>652.60669028622829</v>
      </c>
    </row>
    <row r="77" spans="1:19" x14ac:dyDescent="0.25">
      <c r="A77" s="7"/>
      <c r="E77">
        <v>73</v>
      </c>
      <c r="F77" s="4">
        <f>IF('Pricing Component 1'!$B$25*12&gt;=E77,F76+G77,0)</f>
        <v>159956.28750735676</v>
      </c>
      <c r="G77" s="4">
        <f t="shared" si="12"/>
        <v>1132.1038068013204</v>
      </c>
      <c r="H77" s="4">
        <f t="shared" si="16"/>
        <v>339.63114204039613</v>
      </c>
      <c r="I77" s="1">
        <f t="shared" si="9"/>
        <v>252.4096392533209</v>
      </c>
      <c r="K77">
        <v>73</v>
      </c>
      <c r="L77" s="4">
        <f>IF('Pricing Component 1'!$B$25*12&gt;=K77,L76+M77,0)</f>
        <v>155688.92704026561</v>
      </c>
      <c r="M77" s="4">
        <f t="shared" si="14"/>
        <v>1044.6285721381437</v>
      </c>
      <c r="N77" s="4">
        <f t="shared" si="17"/>
        <v>313.38857164144309</v>
      </c>
      <c r="O77" s="1">
        <f t="shared" si="18"/>
        <v>232.9064874290051</v>
      </c>
      <c r="Q77">
        <v>73</v>
      </c>
      <c r="R77" s="4">
        <f>IF('Pricing Component 1'!$B$25*12&gt;=Q77,R76+S77,0)</f>
        <v>116539.50682166089</v>
      </c>
      <c r="S77" s="4">
        <f t="shared" si="19"/>
        <v>656.30271809279122</v>
      </c>
    </row>
    <row r="78" spans="1:19" x14ac:dyDescent="0.25">
      <c r="E78">
        <v>74</v>
      </c>
      <c r="F78" s="4">
        <f>IF('Pricing Component 1'!$B$25*12&gt;=E78,F77+G78,0)</f>
        <v>161096.46098591405</v>
      </c>
      <c r="G78" s="4">
        <f t="shared" si="12"/>
        <v>1140.1734785572946</v>
      </c>
      <c r="H78" s="4">
        <f t="shared" si="16"/>
        <v>342.05204356718838</v>
      </c>
      <c r="I78" s="1">
        <f t="shared" si="9"/>
        <v>253.17734729635501</v>
      </c>
      <c r="K78">
        <v>74</v>
      </c>
      <c r="L78" s="4">
        <f>IF('Pricing Component 1'!$B$25*12&gt;=K78,L77+M78,0)</f>
        <v>156740.6121212084</v>
      </c>
      <c r="M78" s="4">
        <f t="shared" si="14"/>
        <v>1051.6850809427815</v>
      </c>
      <c r="N78" s="4">
        <f t="shared" si="17"/>
        <v>315.50552428283441</v>
      </c>
      <c r="O78" s="1">
        <f t="shared" si="18"/>
        <v>233.52835686123694</v>
      </c>
      <c r="Q78">
        <v>74</v>
      </c>
      <c r="R78" s="4">
        <f>IF('Pricing Component 1'!$B$25*12&gt;=Q78,R77+S78,0)</f>
        <v>117199.52649995605</v>
      </c>
      <c r="S78" s="4">
        <f t="shared" si="19"/>
        <v>660.01967829516036</v>
      </c>
    </row>
    <row r="79" spans="1:19" x14ac:dyDescent="0.25">
      <c r="E79">
        <v>75</v>
      </c>
      <c r="F79" s="4">
        <f>IF('Pricing Component 1'!$B$25*12&gt;=E79,F78+G79,0)</f>
        <v>162244.76165710294</v>
      </c>
      <c r="G79" s="4">
        <f t="shared" si="12"/>
        <v>1148.3006711888795</v>
      </c>
      <c r="H79" s="4">
        <f t="shared" si="16"/>
        <v>344.49020135666382</v>
      </c>
      <c r="I79" s="1">
        <f t="shared" si="9"/>
        <v>253.947390335949</v>
      </c>
      <c r="K79">
        <v>75</v>
      </c>
      <c r="L79" s="4">
        <f>IF('Pricing Component 1'!$B$25*12&gt;=K79,L78+M79,0)</f>
        <v>157799.40137796191</v>
      </c>
      <c r="M79" s="4">
        <f t="shared" si="14"/>
        <v>1058.7892567535093</v>
      </c>
      <c r="N79" s="4">
        <f t="shared" si="17"/>
        <v>317.63677702605281</v>
      </c>
      <c r="O79" s="1">
        <f t="shared" si="18"/>
        <v>234.15188670917908</v>
      </c>
      <c r="Q79">
        <v>75</v>
      </c>
      <c r="R79" s="4">
        <f>IF('Pricing Component 1'!$B$25*12&gt;=Q79,R78+S79,0)</f>
        <v>117863.28418939968</v>
      </c>
      <c r="S79" s="4">
        <f t="shared" si="19"/>
        <v>663.75768944363278</v>
      </c>
    </row>
    <row r="80" spans="1:19" x14ac:dyDescent="0.25">
      <c r="E80">
        <v>76</v>
      </c>
      <c r="F80" s="4">
        <f>IF('Pricing Component 1'!$B$25*12&gt;=E80,F79+G80,0)</f>
        <v>163401.24745180964</v>
      </c>
      <c r="G80" s="4">
        <f t="shared" si="12"/>
        <v>1156.485794706696</v>
      </c>
      <c r="H80" s="4">
        <f t="shared" si="16"/>
        <v>346.94573841200878</v>
      </c>
      <c r="I80" s="1">
        <f t="shared" si="9"/>
        <v>254.71977547403313</v>
      </c>
      <c r="K80">
        <v>76</v>
      </c>
      <c r="L80" s="4">
        <f>IF('Pricing Component 1'!$B$25*12&gt;=K80,L79+M80,0)</f>
        <v>158865.34279952481</v>
      </c>
      <c r="M80" s="4">
        <f t="shared" si="14"/>
        <v>1065.9414215629065</v>
      </c>
      <c r="N80" s="4">
        <f t="shared" si="17"/>
        <v>319.78242646887196</v>
      </c>
      <c r="O80" s="1">
        <f t="shared" si="18"/>
        <v>234.77708140620641</v>
      </c>
      <c r="Q80">
        <v>76</v>
      </c>
      <c r="R80" s="4">
        <f>IF('Pricing Component 1'!$B$25*12&gt;=Q80,R79+S80,0)</f>
        <v>118530.80106015959</v>
      </c>
      <c r="S80" s="4">
        <f t="shared" si="19"/>
        <v>667.51687075991322</v>
      </c>
    </row>
    <row r="81" spans="3:19" x14ac:dyDescent="0.25">
      <c r="E81">
        <v>77</v>
      </c>
      <c r="F81" s="4">
        <f>IF('Pricing Component 1'!$B$25*12&gt;=E81,F80+G81,0)</f>
        <v>164565.97671385357</v>
      </c>
      <c r="G81" s="4">
        <f t="shared" si="12"/>
        <v>1164.7292620439346</v>
      </c>
      <c r="H81" s="4">
        <f t="shared" si="16"/>
        <v>349.41877861318034</v>
      </c>
      <c r="I81" s="1">
        <f t="shared" si="9"/>
        <v>255.49450983413814</v>
      </c>
      <c r="K81">
        <v>77</v>
      </c>
      <c r="L81" s="4">
        <f>IF('Pricing Component 1'!$B$25*12&gt;=K81,L80+M81,0)</f>
        <v>159938.48469906344</v>
      </c>
      <c r="M81" s="4">
        <f t="shared" si="14"/>
        <v>1073.1418995386246</v>
      </c>
      <c r="N81" s="4">
        <f t="shared" si="17"/>
        <v>321.94256986158734</v>
      </c>
      <c r="O81" s="1">
        <f t="shared" si="18"/>
        <v>235.40394539753086</v>
      </c>
      <c r="Q81">
        <v>77</v>
      </c>
      <c r="R81" s="4">
        <f>IF('Pricing Component 1'!$B$25*12&gt;=Q81,R80+S81,0)</f>
        <v>119202.0984023005</v>
      </c>
      <c r="S81" s="4">
        <f t="shared" si="19"/>
        <v>671.29734214091661</v>
      </c>
    </row>
    <row r="82" spans="3:19" x14ac:dyDescent="0.25">
      <c r="E82">
        <v>78</v>
      </c>
      <c r="F82" s="4">
        <f>IF('Pricing Component 1'!$B$25*12&gt;=E82,F81+G82,0)</f>
        <v>165739.00820293077</v>
      </c>
      <c r="G82" s="4">
        <f t="shared" si="12"/>
        <v>1173.0314890771861</v>
      </c>
      <c r="H82" s="4">
        <f t="shared" si="16"/>
        <v>351.90944672315578</v>
      </c>
      <c r="I82" s="1">
        <f t="shared" si="9"/>
        <v>256.2716005614613</v>
      </c>
      <c r="K82">
        <v>78</v>
      </c>
      <c r="L82" s="4">
        <f>IF('Pricing Component 1'!$B$25*12&gt;=K82,L81+M82,0)</f>
        <v>161018.87571610152</v>
      </c>
      <c r="M82" s="4">
        <f t="shared" si="14"/>
        <v>1080.3910170380823</v>
      </c>
      <c r="N82" s="4">
        <f t="shared" si="17"/>
        <v>324.11730511142468</v>
      </c>
      <c r="O82" s="1">
        <f t="shared" si="18"/>
        <v>236.03248314023389</v>
      </c>
      <c r="Q82">
        <v>78</v>
      </c>
      <c r="R82" s="4">
        <f>IF('Pricing Component 1'!$B$25*12&gt;=Q82,R81+S82,0)</f>
        <v>119877.19762646309</v>
      </c>
      <c r="S82" s="4">
        <f t="shared" si="19"/>
        <v>675.09922416259246</v>
      </c>
    </row>
    <row r="83" spans="3:19" x14ac:dyDescent="0.25">
      <c r="C83" s="1"/>
      <c r="E83">
        <v>79</v>
      </c>
      <c r="F83" s="4">
        <f>IF('Pricing Component 1'!$B$25*12&gt;=E83,F82+G83,0)</f>
        <v>166920.4010975782</v>
      </c>
      <c r="G83" s="4">
        <f t="shared" si="12"/>
        <v>1181.3928946474227</v>
      </c>
      <c r="H83" s="4">
        <f t="shared" si="16"/>
        <v>354.41786839422679</v>
      </c>
      <c r="I83" s="1">
        <f t="shared" si="9"/>
        <v>257.05105482293192</v>
      </c>
      <c r="K83">
        <v>79</v>
      </c>
      <c r="L83" s="4">
        <f>IF('Pricing Component 1'!$B$25*12&gt;=K83,L82+M83,0)</f>
        <v>162106.56481872479</v>
      </c>
      <c r="M83" s="4">
        <f t="shared" si="14"/>
        <v>1087.6891026232549</v>
      </c>
      <c r="N83" s="4">
        <f t="shared" si="17"/>
        <v>326.30673078697646</v>
      </c>
      <c r="O83" s="1">
        <f t="shared" si="18"/>
        <v>236.66269910329686</v>
      </c>
      <c r="Q83">
        <v>79</v>
      </c>
      <c r="R83" s="4">
        <f>IF('Pricing Component 1'!$B$25*12&gt;=Q83,R82+S83,0)</f>
        <v>120556.12026454686</v>
      </c>
      <c r="S83" s="4">
        <f t="shared" si="19"/>
        <v>678.92263808377004</v>
      </c>
    </row>
    <row r="84" spans="3:19" x14ac:dyDescent="0.25">
      <c r="C84" s="1"/>
      <c r="E84">
        <v>80</v>
      </c>
      <c r="F84" s="4">
        <f>IF('Pricing Component 1'!$B$25*12&gt;=E84,F83+G84,0)</f>
        <v>168110.21499815932</v>
      </c>
      <c r="G84" s="4">
        <f t="shared" si="12"/>
        <v>1189.8139005811286</v>
      </c>
      <c r="H84" s="4">
        <f t="shared" si="16"/>
        <v>356.94417017433858</v>
      </c>
      <c r="I84" s="1">
        <f t="shared" si="9"/>
        <v>257.83287980727778</v>
      </c>
      <c r="K84">
        <v>80</v>
      </c>
      <c r="L84" s="4">
        <f>IF('Pricing Component 1'!$B$25*12&gt;=K84,L83+M84,0)</f>
        <v>163201.60130580034</v>
      </c>
      <c r="M84" s="4">
        <f t="shared" si="14"/>
        <v>1095.0364870755677</v>
      </c>
      <c r="N84" s="4">
        <f t="shared" si="17"/>
        <v>328.5109461226703</v>
      </c>
      <c r="O84" s="1">
        <f t="shared" si="18"/>
        <v>237.29459776763395</v>
      </c>
      <c r="Q84">
        <v>80</v>
      </c>
      <c r="R84" s="4">
        <f>IF('Pricing Component 1'!$B$25*12&gt;=Q84,R83+S84,0)</f>
        <v>121238.88797039689</v>
      </c>
      <c r="S84" s="4">
        <f t="shared" si="19"/>
        <v>682.76770585002612</v>
      </c>
    </row>
    <row r="85" spans="3:19" x14ac:dyDescent="0.25">
      <c r="C85" s="1"/>
      <c r="E85">
        <v>81</v>
      </c>
      <c r="F85" s="4">
        <f>IF('Pricing Component 1'!$B$25*12&gt;=E85,F84+G85,0)</f>
        <v>169308.5099298709</v>
      </c>
      <c r="G85" s="4">
        <f t="shared" si="12"/>
        <v>1198.2949317115806</v>
      </c>
      <c r="H85" s="4">
        <f t="shared" si="16"/>
        <v>359.48847951347415</v>
      </c>
      <c r="I85" s="1">
        <f t="shared" si="9"/>
        <v>258.61708272509128</v>
      </c>
      <c r="K85">
        <v>81</v>
      </c>
      <c r="L85" s="4">
        <f>IF('Pricing Component 1'!$B$25*12&gt;=K85,L84+M85,0)</f>
        <v>164304.03480921124</v>
      </c>
      <c r="M85" s="4">
        <f t="shared" si="14"/>
        <v>1102.4335034108883</v>
      </c>
      <c r="N85" s="4">
        <f t="shared" si="17"/>
        <v>330.73005102326647</v>
      </c>
      <c r="O85" s="1">
        <f t="shared" si="18"/>
        <v>237.92818362612337</v>
      </c>
      <c r="Q85">
        <v>81</v>
      </c>
      <c r="R85" s="4">
        <f>IF('Pricing Component 1'!$B$25*12&gt;=Q85,R84+S85,0)</f>
        <v>121925.52252049446</v>
      </c>
      <c r="S85" s="4">
        <f t="shared" si="19"/>
        <v>686.63455009757445</v>
      </c>
    </row>
    <row r="86" spans="3:19" x14ac:dyDescent="0.25">
      <c r="E86">
        <v>82</v>
      </c>
      <c r="F86" s="4">
        <f>IF('Pricing Component 1'!$B$25*12&gt;=E86,F85+G86,0)</f>
        <v>170515.34634577116</v>
      </c>
      <c r="G86" s="4">
        <f t="shared" si="12"/>
        <v>1206.8364159002801</v>
      </c>
      <c r="H86" s="4">
        <f t="shared" si="16"/>
        <v>362.05092477008401</v>
      </c>
      <c r="I86" s="1">
        <f t="shared" si="9"/>
        <v>259.40367080889581</v>
      </c>
      <c r="K86">
        <v>82</v>
      </c>
      <c r="L86" s="4">
        <f>IF('Pricing Component 1'!$B$25*12&gt;=K86,L85+M86,0)</f>
        <v>165413.91529610587</v>
      </c>
      <c r="M86" s="4">
        <f t="shared" si="14"/>
        <v>1109.8804868946197</v>
      </c>
      <c r="N86" s="4">
        <f t="shared" si="17"/>
        <v>332.9641460683859</v>
      </c>
      <c r="O86" s="1">
        <f t="shared" si="18"/>
        <v>238.56346118363939</v>
      </c>
      <c r="Q86">
        <v>82</v>
      </c>
      <c r="R86" s="4">
        <f>IF('Pricing Component 1'!$B$25*12&gt;=Q86,R85+S86,0)</f>
        <v>122616.04581465163</v>
      </c>
      <c r="S86" s="4">
        <f t="shared" si="19"/>
        <v>690.52329415717702</v>
      </c>
    </row>
    <row r="87" spans="3:19" x14ac:dyDescent="0.25">
      <c r="E87">
        <v>83</v>
      </c>
      <c r="F87" s="4">
        <f>IF('Pricing Component 1'!$B$25*12&gt;=E87,F86+G87,0)</f>
        <v>171730.78512982969</v>
      </c>
      <c r="G87" s="4">
        <f t="shared" si="12"/>
        <v>1215.4387840585391</v>
      </c>
      <c r="H87" s="4">
        <f t="shared" si="16"/>
        <v>364.63163521756172</v>
      </c>
      <c r="I87" s="1">
        <f t="shared" si="9"/>
        <v>260.19265131321288</v>
      </c>
      <c r="K87">
        <v>83</v>
      </c>
      <c r="L87" s="4">
        <f>IF('Pricing Component 1'!$B$25*12&gt;=K87,L86+M87,0)</f>
        <v>166531.29307116277</v>
      </c>
      <c r="M87" s="4">
        <f t="shared" si="14"/>
        <v>1117.3777750568968</v>
      </c>
      <c r="N87" s="4">
        <f t="shared" si="17"/>
        <v>335.21333251706903</v>
      </c>
      <c r="O87" s="1">
        <f t="shared" si="18"/>
        <v>239.20043495708472</v>
      </c>
      <c r="Q87">
        <v>83</v>
      </c>
      <c r="R87" s="4">
        <f>IF('Pricing Component 1'!$B$25*12&gt;=Q87,R86+S87,0)</f>
        <v>123310.47987670971</v>
      </c>
      <c r="S87" s="4">
        <f t="shared" si="19"/>
        <v>694.43406205807753</v>
      </c>
    </row>
    <row r="88" spans="3:19" x14ac:dyDescent="0.25">
      <c r="E88">
        <v>84</v>
      </c>
      <c r="F88" s="4">
        <f>IF('Pricing Component 1'!$B$25*12&gt;=E88,F87+G88,0)</f>
        <v>172954.88759999891</v>
      </c>
      <c r="G88" s="4">
        <f t="shared" si="12"/>
        <v>1224.1024701692193</v>
      </c>
      <c r="H88" s="4">
        <f t="shared" si="16"/>
        <v>367.23074105076574</v>
      </c>
      <c r="I88" s="1">
        <f t="shared" si="9"/>
        <v>260.98403151462838</v>
      </c>
      <c r="K88">
        <v>84</v>
      </c>
      <c r="L88" s="4">
        <f>IF('Pricing Component 1'!$B$25*12&gt;=K88,L87+M88,0)</f>
        <v>167656.21877887065</v>
      </c>
      <c r="M88" s="4">
        <f t="shared" si="14"/>
        <v>1124.9257077078839</v>
      </c>
      <c r="N88" s="4">
        <f t="shared" si="17"/>
        <v>337.47771231236516</v>
      </c>
      <c r="O88" s="1">
        <f t="shared" si="18"/>
        <v>239.83910947542213</v>
      </c>
      <c r="Q88">
        <v>84</v>
      </c>
      <c r="R88" s="4">
        <f>IF('Pricing Component 1'!$B$25*12&gt;=Q88,R87+S88,0)</f>
        <v>124008.84685524166</v>
      </c>
      <c r="S88" s="4">
        <f t="shared" si="19"/>
        <v>698.36697853195767</v>
      </c>
    </row>
    <row r="89" spans="3:19" x14ac:dyDescent="0.25">
      <c r="F89" s="4">
        <f>IF($B$11=1,F15,IF($B$11=3,F40,IF($B$11=5,F64,IF($B$11=7,F88,0))))</f>
        <v>172954.88759999891</v>
      </c>
      <c r="G89" s="7">
        <f>SUM(G5:G88)</f>
        <v>77714.887599998896</v>
      </c>
      <c r="H89" s="7">
        <f>SUM(H5:H88)</f>
        <v>23314.466279999662</v>
      </c>
      <c r="I89" s="7">
        <f>SUM(I5:I88)</f>
        <v>19379.174702865272</v>
      </c>
      <c r="L89" s="4">
        <f>IF($B$11=1,L15,IF($B$11=3,L40,IF($B$11=5,L64,IF($B$11=7,L88,0))))</f>
        <v>167656.21877887065</v>
      </c>
      <c r="M89" s="7">
        <f>SUM(M5:M88)</f>
        <v>72416.218778870636</v>
      </c>
      <c r="N89" s="7">
        <f>SUM(N5:N88)</f>
        <v>21724.865633661175</v>
      </c>
      <c r="O89" s="7">
        <f>SUM(O5:O88)</f>
        <v>18073.740612073132</v>
      </c>
      <c r="R89" s="4">
        <f>IF($B$11=1,R15,IF($B$11=3,R40,IF($B$11=5,R64,IF($B$11=7,R88,0))))</f>
        <v>124008.84685524166</v>
      </c>
      <c r="S89" s="4">
        <f>SUM(S5:S88)</f>
        <v>46842.58746731485</v>
      </c>
    </row>
  </sheetData>
  <mergeCells count="3">
    <mergeCell ref="E1:I1"/>
    <mergeCell ref="K1:O1"/>
    <mergeCell ref="Q1:S1"/>
  </mergeCells>
  <dataValidations disablePrompts="1" count="3">
    <dataValidation type="list" allowBlank="1" showInputMessage="1" showErrorMessage="1" sqref="B25 B11 B18" xr:uid="{DFA4BD6A-9967-49DE-B2A1-2217CCE009F3}">
      <formula1>"1,3,5,7"</formula1>
    </dataValidation>
    <dataValidation type="list" allowBlank="1" showInputMessage="1" showErrorMessage="1" sqref="B32" xr:uid="{60993581-4DDF-449D-8327-6144AA34B119}">
      <formula1>"1,2,3,4,5,6,7,8,9,10,11,12"</formula1>
    </dataValidation>
    <dataValidation type="list" allowBlank="1" showInputMessage="1" showErrorMessage="1" sqref="B31" xr:uid="{DC60A65D-AA3B-4DE4-9DF1-F05FB0C9EFCB}">
      <formula1>"3%,4%,5%,6%,7%,8%,9%"</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56ABB-C65B-45CC-94FA-24BC8E061592}">
  <sheetPr codeName="Sheet1"/>
  <dimension ref="A1:P86"/>
  <sheetViews>
    <sheetView zoomScale="90" zoomScaleNormal="90" workbookViewId="0">
      <selection activeCell="B16" sqref="B16:E16"/>
    </sheetView>
  </sheetViews>
  <sheetFormatPr defaultRowHeight="15" x14ac:dyDescent="0.25"/>
  <cols>
    <col min="1" max="1" width="40.28515625" customWidth="1"/>
    <col min="2" max="2" width="17.42578125" customWidth="1"/>
    <col min="3" max="3" width="19.42578125" customWidth="1"/>
    <col min="4" max="4" width="14.140625" bestFit="1" customWidth="1"/>
    <col min="7" max="7" width="8.7109375" customWidth="1"/>
    <col min="8" max="8" width="12.28515625" customWidth="1"/>
    <col min="9" max="10" width="8.7109375" customWidth="1"/>
    <col min="11" max="11" width="11.42578125" customWidth="1"/>
  </cols>
  <sheetData>
    <row r="1" spans="1:16" x14ac:dyDescent="0.25">
      <c r="A1" t="s">
        <v>4</v>
      </c>
      <c r="B1" s="4">
        <f>C31</f>
        <v>97700</v>
      </c>
      <c r="D1" t="s">
        <v>11</v>
      </c>
      <c r="G1" t="s">
        <v>16</v>
      </c>
      <c r="H1" t="s">
        <v>17</v>
      </c>
      <c r="I1" t="s">
        <v>18</v>
      </c>
      <c r="J1" t="s">
        <v>19</v>
      </c>
      <c r="K1" t="s">
        <v>20</v>
      </c>
    </row>
    <row r="2" spans="1:16" x14ac:dyDescent="0.25">
      <c r="A2" t="s">
        <v>28</v>
      </c>
      <c r="B2" s="2">
        <v>1</v>
      </c>
      <c r="G2">
        <v>0</v>
      </c>
      <c r="H2" s="4">
        <f>'Pricing Component '!B3</f>
        <v>97700</v>
      </c>
      <c r="I2" s="4"/>
      <c r="J2" s="4"/>
    </row>
    <row r="3" spans="1:16" x14ac:dyDescent="0.25">
      <c r="A3" t="s">
        <v>0</v>
      </c>
      <c r="B3" s="4">
        <f>B1*B2</f>
        <v>97700</v>
      </c>
      <c r="D3" t="s">
        <v>12</v>
      </c>
      <c r="G3">
        <v>1</v>
      </c>
      <c r="H3" s="4">
        <f>IF('Pricing Component '!$B$5*12&gt;=G3,H2+I3,0)</f>
        <v>98439.068929294066</v>
      </c>
      <c r="I3" s="4">
        <f t="shared" ref="I3:I34" si="0">IF(nfi*12&gt;=G3,H2*(ced-1),0)</f>
        <v>739.06892929406206</v>
      </c>
      <c r="J3" s="4">
        <f t="shared" ref="J3:J34" si="1">I3*0.3</f>
        <v>221.72067878821861</v>
      </c>
      <c r="K3" s="1">
        <f t="shared" ref="K3:K34" si="2">J3*(1+rfr)^(-G3/12)</f>
        <v>220.82102659185108</v>
      </c>
    </row>
    <row r="4" spans="1:16" x14ac:dyDescent="0.25">
      <c r="B4" s="4"/>
      <c r="G4">
        <v>2</v>
      </c>
      <c r="H4" s="4">
        <f>IF('Pricing Component '!$B$5*12&gt;=G4,H3+I4,0)</f>
        <v>99183.728676216051</v>
      </c>
      <c r="I4" s="4">
        <f t="shared" si="0"/>
        <v>744.6597469219829</v>
      </c>
      <c r="J4" s="4">
        <f t="shared" si="1"/>
        <v>223.39792407659488</v>
      </c>
      <c r="K4" s="1">
        <f t="shared" si="2"/>
        <v>221.5886865639572</v>
      </c>
      <c r="P4" s="32"/>
    </row>
    <row r="5" spans="1:16" x14ac:dyDescent="0.25">
      <c r="A5" t="s">
        <v>2</v>
      </c>
      <c r="B5" s="28">
        <v>7</v>
      </c>
      <c r="G5">
        <v>3</v>
      </c>
      <c r="H5" s="4">
        <f>IF('Pricing Component '!$B$5*12&gt;=G5,H4+I5,0)</f>
        <v>99934.021533494699</v>
      </c>
      <c r="I5" s="4">
        <f t="shared" si="0"/>
        <v>750.29285727864635</v>
      </c>
      <c r="J5" s="4">
        <f t="shared" si="1"/>
        <v>225.08785718359391</v>
      </c>
      <c r="K5" s="1">
        <f t="shared" si="2"/>
        <v>222.35901522138673</v>
      </c>
    </row>
    <row r="6" spans="1:16" x14ac:dyDescent="0.25">
      <c r="A6" t="s">
        <v>1</v>
      </c>
      <c r="B6" s="31">
        <f>0.12619*nfi</f>
        <v>0.88332999999999995</v>
      </c>
      <c r="G6">
        <v>4</v>
      </c>
      <c r="H6" s="4">
        <f>IF('Pricing Component '!$B$5*12&gt;=G6,H5+I6,0)</f>
        <v>100689.99011378958</v>
      </c>
      <c r="I6" s="4">
        <f t="shared" si="0"/>
        <v>755.96858029487885</v>
      </c>
      <c r="J6" s="4">
        <f t="shared" si="1"/>
        <v>226.79057408846364</v>
      </c>
      <c r="K6" s="1">
        <f t="shared" si="2"/>
        <v>223.13202184153022</v>
      </c>
    </row>
    <row r="7" spans="1:16" x14ac:dyDescent="0.25">
      <c r="A7" t="s">
        <v>10</v>
      </c>
      <c r="B7" s="5">
        <f>(1+B6)^(1/B5)-1</f>
        <v>9.4649803632116614E-2</v>
      </c>
      <c r="G7">
        <v>5</v>
      </c>
      <c r="H7" s="4">
        <f>IF('Pricing Component '!$B$5*12&gt;=G7,H6+I7,0)</f>
        <v>101451.67735211126</v>
      </c>
      <c r="I7" s="4">
        <f>IF(nfi*12&gt;=G7,H6*(ced-1),0)</f>
        <v>761.68723832168018</v>
      </c>
      <c r="J7" s="4">
        <f t="shared" si="1"/>
        <v>228.50617149650404</v>
      </c>
      <c r="K7" s="1">
        <f t="shared" si="2"/>
        <v>223.90771573403009</v>
      </c>
    </row>
    <row r="8" spans="1:16" x14ac:dyDescent="0.25">
      <c r="A8" t="s">
        <v>13</v>
      </c>
      <c r="B8">
        <f>(1+B7)^(1/12)</f>
        <v>1.0075646768607376</v>
      </c>
      <c r="G8">
        <v>6</v>
      </c>
      <c r="H8" s="4">
        <f>IF('Pricing Component '!$B$5*12&gt;=G8,H7+I8,0)</f>
        <v>102219.1265082598</v>
      </c>
      <c r="I8" s="4">
        <f t="shared" si="0"/>
        <v>767.4491561485313</v>
      </c>
      <c r="J8" s="4">
        <f t="shared" si="1"/>
        <v>230.23474684455937</v>
      </c>
      <c r="K8" s="1">
        <f t="shared" si="2"/>
        <v>224.68610624089254</v>
      </c>
    </row>
    <row r="9" spans="1:16" ht="15.75" thickBot="1" x14ac:dyDescent="0.3">
      <c r="G9">
        <v>7</v>
      </c>
      <c r="H9" s="4">
        <f>IF('Pricing Component '!$B$5*12&gt;=G9,H8+I9,0)</f>
        <v>102992.38116928164</v>
      </c>
      <c r="I9" s="4">
        <f t="shared" si="0"/>
        <v>773.25466102184077</v>
      </c>
      <c r="J9" s="4">
        <f t="shared" si="1"/>
        <v>231.97639830655223</v>
      </c>
      <c r="K9" s="1">
        <f t="shared" si="2"/>
        <v>225.46720273660046</v>
      </c>
    </row>
    <row r="10" spans="1:16" x14ac:dyDescent="0.25">
      <c r="A10" s="8" t="s">
        <v>3</v>
      </c>
      <c r="B10" s="23">
        <v>0.05</v>
      </c>
      <c r="G10">
        <v>8</v>
      </c>
      <c r="H10" s="4">
        <f>IF('Pricing Component '!$B$5*12&gt;=G10,H9+I10,0)</f>
        <v>103771.48525194517</v>
      </c>
      <c r="I10" s="4">
        <f t="shared" si="0"/>
        <v>779.10408266353011</v>
      </c>
      <c r="J10" s="4">
        <f t="shared" si="1"/>
        <v>233.73122479905902</v>
      </c>
      <c r="K10" s="1">
        <f t="shared" si="2"/>
        <v>226.25101462822579</v>
      </c>
    </row>
    <row r="11" spans="1:16" x14ac:dyDescent="0.25">
      <c r="A11" s="9" t="s">
        <v>5</v>
      </c>
      <c r="B11" s="24">
        <v>1</v>
      </c>
      <c r="G11">
        <v>9</v>
      </c>
      <c r="H11" s="4">
        <f>IF('Pricing Component '!$B$5*12&gt;=G11,H10+I11,0)</f>
        <v>104556.48300523493</v>
      </c>
      <c r="I11" s="4">
        <f t="shared" si="0"/>
        <v>784.99775328976114</v>
      </c>
      <c r="J11" s="4">
        <f t="shared" si="1"/>
        <v>235.49932598692834</v>
      </c>
      <c r="K11" s="1">
        <f t="shared" si="2"/>
        <v>227.03755135554351</v>
      </c>
    </row>
    <row r="12" spans="1:16" x14ac:dyDescent="0.25">
      <c r="A12" s="9" t="s">
        <v>15</v>
      </c>
      <c r="B12" s="25">
        <f ca="1">DATE(YEAR(NOW()),B11,21)</f>
        <v>46043</v>
      </c>
      <c r="G12">
        <v>10</v>
      </c>
      <c r="H12" s="4">
        <f>IF('Pricing Component '!$B$5*12&gt;=G12,H11+I12,0)</f>
        <v>105347.41901286473</v>
      </c>
      <c r="I12" s="4">
        <f t="shared" si="0"/>
        <v>790.93600762980316</v>
      </c>
      <c r="J12" s="4">
        <f t="shared" si="1"/>
        <v>237.28080228894095</v>
      </c>
      <c r="K12" s="1">
        <f t="shared" si="2"/>
        <v>227.82682239114447</v>
      </c>
    </row>
    <row r="13" spans="1:16" ht="15.75" thickBot="1" x14ac:dyDescent="0.3">
      <c r="A13" s="9" t="s">
        <v>6</v>
      </c>
      <c r="B13" s="24">
        <f ca="1">SUM('Pricing Component '!K2:OFFSET(K3,B5*12,0))</f>
        <v>21498.25572298688</v>
      </c>
      <c r="G13">
        <v>11</v>
      </c>
      <c r="H13" s="4">
        <f>IF('Pricing Component '!$B$5*12&gt;=G13,H12+I13,0)</f>
        <v>106144.33819580977</v>
      </c>
      <c r="I13" s="4">
        <f t="shared" si="0"/>
        <v>796.91918294504455</v>
      </c>
      <c r="J13" s="4">
        <f t="shared" si="1"/>
        <v>239.07575488351335</v>
      </c>
      <c r="K13" s="1">
        <f t="shared" si="2"/>
        <v>228.61883724055042</v>
      </c>
    </row>
    <row r="14" spans="1:16" x14ac:dyDescent="0.25">
      <c r="A14" s="9" t="s">
        <v>7</v>
      </c>
      <c r="B14" s="33">
        <f ca="1">ROUNDUP((B13/B1)*(10^B15),0)/(10^B15)</f>
        <v>0.221</v>
      </c>
      <c r="C14" s="163" t="s">
        <v>25</v>
      </c>
      <c r="D14" s="163"/>
      <c r="E14" s="163"/>
      <c r="F14" s="164"/>
      <c r="G14">
        <v>12</v>
      </c>
      <c r="H14" s="4">
        <f>IF('Pricing Component '!$B$5*12&gt;=G14,H13+I14,0)</f>
        <v>106947.28581485793</v>
      </c>
      <c r="I14" s="4">
        <f t="shared" si="0"/>
        <v>802.94761904814675</v>
      </c>
      <c r="J14" s="4">
        <f t="shared" si="1"/>
        <v>240.88428571444402</v>
      </c>
      <c r="K14" s="1">
        <f t="shared" si="2"/>
        <v>229.41360544232762</v>
      </c>
    </row>
    <row r="15" spans="1:16" ht="15.75" thickBot="1" x14ac:dyDescent="0.3">
      <c r="A15" s="10" t="s">
        <v>26</v>
      </c>
      <c r="B15" s="26">
        <f>LEN(B1)-2</f>
        <v>3</v>
      </c>
      <c r="C15" s="165"/>
      <c r="D15" s="165"/>
      <c r="E15" s="165"/>
      <c r="F15" s="166"/>
      <c r="G15">
        <v>13</v>
      </c>
      <c r="H15" s="4">
        <f>IF('Pricing Component '!$B$5*12&gt;=G15,H14+I15,0)</f>
        <v>107756.30747318028</v>
      </c>
      <c r="I15" s="4">
        <f t="shared" si="0"/>
        <v>809.02165832234471</v>
      </c>
      <c r="J15" s="4">
        <f t="shared" si="1"/>
        <v>242.70649749670341</v>
      </c>
      <c r="K15" s="1">
        <f t="shared" si="2"/>
        <v>230.21113656820239</v>
      </c>
    </row>
    <row r="16" spans="1:16" ht="15.75" thickBot="1" x14ac:dyDescent="0.3">
      <c r="G16">
        <v>14</v>
      </c>
      <c r="H16" s="4">
        <f>IF('Pricing Component '!$B$5*12&gt;=G16,H15+I16,0)</f>
        <v>108571.44911892117</v>
      </c>
      <c r="I16" s="4">
        <f t="shared" si="0"/>
        <v>815.14164574089136</v>
      </c>
      <c r="J16" s="4">
        <f t="shared" si="1"/>
        <v>244.54249372226741</v>
      </c>
      <c r="K16" s="1">
        <f t="shared" si="2"/>
        <v>231.01144022317592</v>
      </c>
    </row>
    <row r="17" spans="1:11" x14ac:dyDescent="0.25">
      <c r="A17" s="8" t="s">
        <v>21</v>
      </c>
      <c r="B17" s="17">
        <v>0.01</v>
      </c>
      <c r="C17" s="16">
        <f>B17*$B$1</f>
        <v>977</v>
      </c>
      <c r="G17">
        <v>15</v>
      </c>
      <c r="H17" s="4">
        <f>IF('Pricing Component '!$B$5*12&gt;=G17,H16+I17,0)</f>
        <v>109392.75704780783</v>
      </c>
      <c r="I17" s="4">
        <f t="shared" si="0"/>
        <v>821.30792888665098</v>
      </c>
      <c r="J17" s="4">
        <f t="shared" si="1"/>
        <v>246.3923786659953</v>
      </c>
      <c r="K17" s="1">
        <f t="shared" si="2"/>
        <v>231.81452604564012</v>
      </c>
    </row>
    <row r="18" spans="1:11" x14ac:dyDescent="0.25">
      <c r="A18" s="9" t="s">
        <v>33</v>
      </c>
      <c r="B18" s="18">
        <v>1.4999999999999999E-2</v>
      </c>
      <c r="C18" s="14">
        <f>B18*$B$1</f>
        <v>1465.5</v>
      </c>
      <c r="G18">
        <v>16</v>
      </c>
      <c r="H18" s="4">
        <f>IF('Pricing Component '!$B$5*12&gt;=G18,H17+I18,0)</f>
        <v>110220.27790577967</v>
      </c>
      <c r="I18" s="4">
        <f t="shared" si="0"/>
        <v>827.5208579718402</v>
      </c>
      <c r="J18" s="4">
        <f t="shared" si="1"/>
        <v>248.25625739155205</v>
      </c>
      <c r="K18" s="1">
        <f t="shared" si="2"/>
        <v>232.62040370749386</v>
      </c>
    </row>
    <row r="19" spans="1:11" x14ac:dyDescent="0.25">
      <c r="A19" s="9" t="s">
        <v>9</v>
      </c>
      <c r="B19" s="18">
        <v>2.3E-2</v>
      </c>
      <c r="C19" s="14">
        <f>B19*$B$1</f>
        <v>2247.1</v>
      </c>
      <c r="G19">
        <v>17</v>
      </c>
      <c r="H19" s="4">
        <f>IF('Pricing Component '!$B$5*12&gt;=G19,H18+I19,0)</f>
        <v>111054.05869163759</v>
      </c>
      <c r="I19" s="4">
        <f t="shared" si="0"/>
        <v>833.78078585791752</v>
      </c>
      <c r="J19" s="4">
        <f t="shared" si="1"/>
        <v>250.13423575737525</v>
      </c>
      <c r="K19" s="1">
        <f t="shared" si="2"/>
        <v>233.4290829142592</v>
      </c>
    </row>
    <row r="20" spans="1:11" ht="15.75" thickBot="1" x14ac:dyDescent="0.3">
      <c r="A20" s="10" t="s">
        <v>22</v>
      </c>
      <c r="B20" s="19">
        <f ca="1">B14</f>
        <v>0.221</v>
      </c>
      <c r="C20" s="15">
        <f ca="1">B20*$B$1</f>
        <v>21591.7</v>
      </c>
      <c r="D20" s="11">
        <f ca="1">C20-B13</f>
        <v>93.444277013120882</v>
      </c>
      <c r="G20">
        <v>18</v>
      </c>
      <c r="H20" s="4">
        <f>IF('Pricing Component '!$B$5*12&gt;=G20,H19+I20,0)</f>
        <v>111894.14675971321</v>
      </c>
      <c r="I20" s="4">
        <f t="shared" si="0"/>
        <v>840.08806807562451</v>
      </c>
      <c r="J20" s="4">
        <f t="shared" si="1"/>
        <v>252.02642042268735</v>
      </c>
      <c r="K20" s="1">
        <f t="shared" si="2"/>
        <v>234.24057340519838</v>
      </c>
    </row>
    <row r="21" spans="1:11" ht="15.75" thickBot="1" x14ac:dyDescent="0.3">
      <c r="A21" s="12" t="s">
        <v>23</v>
      </c>
      <c r="B21" s="20">
        <f ca="1">SUM(B17:B20)</f>
        <v>0.26900000000000002</v>
      </c>
      <c r="C21" s="13">
        <f ca="1">B21*$B$1</f>
        <v>26281.300000000003</v>
      </c>
      <c r="G21">
        <v>19</v>
      </c>
      <c r="H21" s="4">
        <f>IF('Pricing Component '!$B$5*12&gt;=G21,H20+I21,0)</f>
        <v>112740.5898225584</v>
      </c>
      <c r="I21" s="4">
        <f t="shared" si="0"/>
        <v>846.44306284517791</v>
      </c>
      <c r="J21" s="4">
        <f t="shared" si="1"/>
        <v>253.93291885355336</v>
      </c>
      <c r="K21" s="1">
        <f t="shared" si="2"/>
        <v>235.05488495343104</v>
      </c>
    </row>
    <row r="22" spans="1:11" ht="15.75" thickTop="1" x14ac:dyDescent="0.25">
      <c r="A22" s="9"/>
      <c r="B22" s="21"/>
      <c r="C22" s="14"/>
      <c r="G22">
        <v>20</v>
      </c>
      <c r="H22" s="4">
        <f>IF('Pricing Component '!$B$5*12&gt;=G22,H21+I22,0)</f>
        <v>113593.435953655</v>
      </c>
      <c r="I22" s="4">
        <f t="shared" si="0"/>
        <v>852.84613109661473</v>
      </c>
      <c r="J22" s="4">
        <f t="shared" si="1"/>
        <v>255.85383932898441</v>
      </c>
      <c r="K22" s="1">
        <f t="shared" si="2"/>
        <v>235.87202736605221</v>
      </c>
    </row>
    <row r="23" spans="1:11" ht="15.75" thickBot="1" x14ac:dyDescent="0.3">
      <c r="A23" s="10" t="s">
        <v>24</v>
      </c>
      <c r="B23" s="19">
        <f ca="1">(1-B21)</f>
        <v>0.73099999999999998</v>
      </c>
      <c r="C23" s="15">
        <f ca="1">B23*$B$1</f>
        <v>71418.7</v>
      </c>
      <c r="G23">
        <v>21</v>
      </c>
      <c r="H23" s="4">
        <f>IF('Pricing Component '!$B$5*12&gt;=G23,H22+I23,0)</f>
        <v>114452.73359014529</v>
      </c>
      <c r="I23" s="4">
        <f t="shared" si="0"/>
        <v>859.29763649029087</v>
      </c>
      <c r="J23" s="4">
        <f t="shared" si="1"/>
        <v>257.78929094708724</v>
      </c>
      <c r="K23" s="1">
        <f t="shared" si="2"/>
        <v>236.69201048425006</v>
      </c>
    </row>
    <row r="24" spans="1:11" x14ac:dyDescent="0.25">
      <c r="G24">
        <v>22</v>
      </c>
      <c r="H24" s="4">
        <f>IF('Pricing Component '!$B$5*12&gt;=G24,H23+I24,0)</f>
        <v>115318.53153558282</v>
      </c>
      <c r="I24" s="4">
        <f t="shared" si="0"/>
        <v>865.79794543753542</v>
      </c>
      <c r="J24" s="4">
        <f t="shared" si="1"/>
        <v>259.73938363126064</v>
      </c>
      <c r="K24" s="1">
        <f t="shared" si="2"/>
        <v>237.51484418342449</v>
      </c>
    </row>
    <row r="25" spans="1:11" x14ac:dyDescent="0.25">
      <c r="G25">
        <v>23</v>
      </c>
      <c r="H25" s="4">
        <f>IF('Pricing Component '!$B$5*12&gt;=G25,H24+I25,0)</f>
        <v>116190.87896270429</v>
      </c>
      <c r="I25" s="4">
        <f t="shared" si="0"/>
        <v>872.34742712146078</v>
      </c>
      <c r="J25" s="4">
        <f t="shared" si="1"/>
        <v>261.70422813643825</v>
      </c>
      <c r="K25" s="1">
        <f t="shared" si="2"/>
        <v>238.34053837330632</v>
      </c>
    </row>
    <row r="26" spans="1:11" x14ac:dyDescent="0.25">
      <c r="B26" s="7"/>
      <c r="G26">
        <v>24</v>
      </c>
      <c r="H26" s="4">
        <f>IF('Pricing Component '!$B$5*12&gt;=G26,H25+I26,0)</f>
        <v>117069.82541622221</v>
      </c>
      <c r="I26" s="4">
        <f t="shared" si="0"/>
        <v>878.94645351793054</v>
      </c>
      <c r="J26" s="4">
        <f t="shared" si="1"/>
        <v>263.68393605537915</v>
      </c>
      <c r="K26" s="1">
        <f t="shared" si="2"/>
        <v>239.16910299807631</v>
      </c>
    </row>
    <row r="27" spans="1:11" x14ac:dyDescent="0.25">
      <c r="A27" s="7" t="s">
        <v>34</v>
      </c>
      <c r="C27" s="3">
        <v>100000</v>
      </c>
      <c r="G27">
        <v>25</v>
      </c>
      <c r="H27" s="4">
        <f>IF('Pricing Component '!$B$5*12&gt;=G27,H26+I27,0)</f>
        <v>117955.42081563891</v>
      </c>
      <c r="I27" s="4">
        <f t="shared" si="0"/>
        <v>885.59539941668493</v>
      </c>
      <c r="J27" s="4">
        <f t="shared" si="1"/>
        <v>265.67861982500546</v>
      </c>
      <c r="K27" s="1">
        <f t="shared" si="2"/>
        <v>240.0005480364851</v>
      </c>
    </row>
    <row r="28" spans="1:11" x14ac:dyDescent="0.25">
      <c r="A28" s="7"/>
      <c r="G28">
        <v>26</v>
      </c>
      <c r="H28" s="4">
        <f>IF('Pricing Component '!$B$5*12&gt;=G28,H27+I28,0)</f>
        <v>118847.71545808154</v>
      </c>
      <c r="I28" s="4">
        <f t="shared" si="0"/>
        <v>892.29464244262806</v>
      </c>
      <c r="J28" s="4">
        <f t="shared" si="1"/>
        <v>267.68839273278843</v>
      </c>
      <c r="K28" s="1">
        <f t="shared" si="2"/>
        <v>240.83488350197354</v>
      </c>
    </row>
    <row r="29" spans="1:11" x14ac:dyDescent="0.25">
      <c r="A29" s="7" t="s">
        <v>42</v>
      </c>
      <c r="B29" s="2">
        <v>2.3E-2</v>
      </c>
      <c r="C29" s="1">
        <f>C27*B29</f>
        <v>2300</v>
      </c>
      <c r="G29">
        <v>27</v>
      </c>
      <c r="H29" s="4">
        <f>IF('Pricing Component '!$B$5*12&gt;=G29,H28+I29,0)</f>
        <v>119746.76002115881</v>
      </c>
      <c r="I29" s="4">
        <f t="shared" si="0"/>
        <v>899.04456307727401</v>
      </c>
      <c r="J29" s="4">
        <f t="shared" si="1"/>
        <v>269.7133689231822</v>
      </c>
      <c r="K29" s="1">
        <f t="shared" si="2"/>
        <v>241.67211944279276</v>
      </c>
    </row>
    <row r="30" spans="1:11" x14ac:dyDescent="0.25">
      <c r="G30">
        <v>28</v>
      </c>
      <c r="H30" s="4">
        <f>IF('Pricing Component '!$B$5*12&gt;=G30,H29+I30,0)</f>
        <v>120652.60556583917</v>
      </c>
      <c r="I30" s="4">
        <f t="shared" si="0"/>
        <v>905.84554468035662</v>
      </c>
      <c r="J30" s="4">
        <f t="shared" si="1"/>
        <v>271.75366340410699</v>
      </c>
      <c r="K30" s="1">
        <f t="shared" si="2"/>
        <v>242.51226594212585</v>
      </c>
    </row>
    <row r="31" spans="1:11" ht="15.75" thickBot="1" x14ac:dyDescent="0.3">
      <c r="A31" s="37" t="s">
        <v>43</v>
      </c>
      <c r="B31" s="34"/>
      <c r="C31" s="35">
        <f>C27-C29</f>
        <v>97700</v>
      </c>
      <c r="G31">
        <v>29</v>
      </c>
      <c r="H31" s="4">
        <f>IF('Pricing Component '!$B$5*12&gt;=G31,H30+I31,0)</f>
        <v>121565.30353935077</v>
      </c>
      <c r="I31" s="4">
        <f t="shared" si="0"/>
        <v>912.6979735116023</v>
      </c>
      <c r="J31" s="4">
        <f t="shared" si="1"/>
        <v>273.80939205348068</v>
      </c>
      <c r="K31" s="1">
        <f t="shared" si="2"/>
        <v>243.3553331182087</v>
      </c>
    </row>
    <row r="32" spans="1:11" x14ac:dyDescent="0.25">
      <c r="G32">
        <v>30</v>
      </c>
      <c r="H32" s="4">
        <f>IF('Pricing Component '!$B$5*12&gt;=G32,H31+I32,0)</f>
        <v>122484.90577810344</v>
      </c>
      <c r="I32" s="4">
        <f t="shared" si="0"/>
        <v>919.60223875266763</v>
      </c>
      <c r="J32" s="4">
        <f t="shared" si="1"/>
        <v>275.88067162580029</v>
      </c>
      <c r="K32" s="1">
        <f t="shared" si="2"/>
        <v>244.20133112445242</v>
      </c>
    </row>
    <row r="33" spans="3:11" x14ac:dyDescent="0.25">
      <c r="C33" s="1"/>
      <c r="G33">
        <v>31</v>
      </c>
      <c r="H33" s="4">
        <f>IF('Pricing Component '!$B$5*12&gt;=G33,H32+I33,0)</f>
        <v>123411.46451063268</v>
      </c>
      <c r="I33" s="4">
        <f t="shared" si="0"/>
        <v>926.55873252924232</v>
      </c>
      <c r="J33" s="4">
        <f t="shared" si="1"/>
        <v>277.96761975877268</v>
      </c>
      <c r="K33" s="1">
        <f t="shared" si="2"/>
        <v>245.05027014956502</v>
      </c>
    </row>
    <row r="34" spans="3:11" x14ac:dyDescent="0.25">
      <c r="G34">
        <v>32</v>
      </c>
      <c r="H34" s="4">
        <f>IF('Pricing Component '!$B$5*12&gt;=G34,H33+I34,0)</f>
        <v>124345.03236056599</v>
      </c>
      <c r="I34" s="4">
        <f t="shared" si="0"/>
        <v>933.56784993332064</v>
      </c>
      <c r="J34" s="4">
        <f t="shared" si="1"/>
        <v>280.07035497999618</v>
      </c>
      <c r="K34" s="1">
        <f t="shared" si="2"/>
        <v>245.90216041767482</v>
      </c>
    </row>
    <row r="35" spans="3:11" x14ac:dyDescent="0.25">
      <c r="G35">
        <v>33</v>
      </c>
      <c r="H35" s="4">
        <f>IF('Pricing Component '!$B$5*12&gt;=G35,H34+I35,0)</f>
        <v>125285.66234961164</v>
      </c>
      <c r="I35" s="4">
        <f t="shared" ref="I35:I86" si="3">IF(nfi*12&gt;=G35,H34*(ced-1),0)</f>
        <v>940.62998904563972</v>
      </c>
      <c r="J35" s="4">
        <f t="shared" ref="J35:J86" si="4">I35*0.3</f>
        <v>282.18899671369189</v>
      </c>
      <c r="K35" s="1">
        <f t="shared" ref="K35:K86" si="5">J35*(1+rfr)^(-G35/12)</f>
        <v>246.75701218845279</v>
      </c>
    </row>
    <row r="36" spans="3:11" x14ac:dyDescent="0.25">
      <c r="G36">
        <v>34</v>
      </c>
      <c r="H36" s="4">
        <f>IF('Pricing Component '!$B$5*12&gt;=G36,H35+I36,0)</f>
        <v>126233.40790056993</v>
      </c>
      <c r="I36" s="4">
        <f t="shared" si="3"/>
        <v>947.74555095828919</v>
      </c>
      <c r="J36" s="4">
        <f t="shared" si="4"/>
        <v>284.32366528748673</v>
      </c>
      <c r="K36" s="1">
        <f t="shared" si="5"/>
        <v>247.61483575723679</v>
      </c>
    </row>
    <row r="37" spans="3:11" x14ac:dyDescent="0.25">
      <c r="G37">
        <v>35</v>
      </c>
      <c r="H37" s="4">
        <f>IF('Pricing Component '!$B$5*12&gt;=G37,H36+I37,0)</f>
        <v>127188.32284036741</v>
      </c>
      <c r="I37" s="4">
        <f t="shared" si="3"/>
        <v>954.91493979749032</v>
      </c>
      <c r="J37" s="4">
        <f t="shared" si="4"/>
        <v>286.47448193924708</v>
      </c>
      <c r="K37" s="1">
        <f t="shared" si="5"/>
        <v>248.47564145515526</v>
      </c>
    </row>
    <row r="38" spans="3:11" x14ac:dyDescent="0.25">
      <c r="G38">
        <v>36</v>
      </c>
      <c r="H38" s="4">
        <f>IF('Pricing Component '!$B$5*12&gt;=G38,H37+I38,0)</f>
        <v>128150.46140311396</v>
      </c>
      <c r="I38" s="4">
        <f t="shared" si="3"/>
        <v>962.13856274654904</v>
      </c>
      <c r="J38" s="4">
        <f t="shared" si="4"/>
        <v>288.64156882396469</v>
      </c>
      <c r="K38" s="1">
        <f t="shared" si="5"/>
        <v>249.3394396492514</v>
      </c>
    </row>
    <row r="39" spans="3:11" x14ac:dyDescent="0.25">
      <c r="G39">
        <v>37</v>
      </c>
      <c r="H39" s="4">
        <f>IF('Pricing Component '!$B$5*12&gt;=G39,H38+I39,0)</f>
        <v>129119.87823318294</v>
      </c>
      <c r="I39" s="4">
        <f t="shared" si="3"/>
        <v>969.4168300689812</v>
      </c>
      <c r="J39" s="4">
        <f t="shared" si="4"/>
        <v>290.82504902069434</v>
      </c>
      <c r="K39" s="1">
        <f t="shared" si="5"/>
        <v>250.20624074260868</v>
      </c>
    </row>
    <row r="40" spans="3:11" x14ac:dyDescent="0.25">
      <c r="G40">
        <v>38</v>
      </c>
      <c r="H40" s="4">
        <f>IF('Pricing Component '!$B$5*12&gt;=G40,H39+I40,0)</f>
        <v>130096.62838831476</v>
      </c>
      <c r="I40" s="4">
        <f t="shared" si="3"/>
        <v>976.75015513181359</v>
      </c>
      <c r="J40" s="4">
        <f t="shared" si="4"/>
        <v>293.02504653954406</v>
      </c>
      <c r="K40" s="1">
        <f t="shared" si="5"/>
        <v>251.07605517447553</v>
      </c>
    </row>
    <row r="41" spans="3:11" x14ac:dyDescent="0.25">
      <c r="G41">
        <v>39</v>
      </c>
      <c r="H41" s="4">
        <f>IF('Pricing Component '!$B$5*12&gt;=G41,H40+I41,0)</f>
        <v>131080.76734274381</v>
      </c>
      <c r="I41" s="4">
        <f t="shared" si="3"/>
        <v>984.13895442906096</v>
      </c>
      <c r="J41" s="4">
        <f t="shared" si="4"/>
        <v>295.24168632871829</v>
      </c>
      <c r="K41" s="1">
        <f t="shared" si="5"/>
        <v>251.94889342039122</v>
      </c>
    </row>
    <row r="42" spans="3:11" x14ac:dyDescent="0.25">
      <c r="G42">
        <v>40</v>
      </c>
      <c r="H42" s="4">
        <f>IF('Pricing Component '!$B$5*12&gt;=G42,H41+I42,0)</f>
        <v>132072.35099034919</v>
      </c>
      <c r="I42" s="4">
        <f t="shared" si="3"/>
        <v>991.58364760538097</v>
      </c>
      <c r="J42" s="4">
        <f t="shared" si="4"/>
        <v>297.4750942816143</v>
      </c>
      <c r="K42" s="1">
        <f t="shared" si="5"/>
        <v>252.82476599231234</v>
      </c>
    </row>
    <row r="43" spans="3:11" x14ac:dyDescent="0.25">
      <c r="G43">
        <v>41</v>
      </c>
      <c r="H43" s="4">
        <f>IF('Pricing Component '!$B$5*12&gt;=G43,H42+I43,0)</f>
        <v>133071.43564782912</v>
      </c>
      <c r="I43" s="4">
        <f t="shared" si="3"/>
        <v>999.08465747990715</v>
      </c>
      <c r="J43" s="4">
        <f t="shared" si="4"/>
        <v>299.72539724397211</v>
      </c>
      <c r="K43" s="1">
        <f t="shared" si="5"/>
        <v>253.70368343873875</v>
      </c>
    </row>
    <row r="44" spans="3:11" x14ac:dyDescent="0.25">
      <c r="G44">
        <v>42</v>
      </c>
      <c r="H44" s="4">
        <f>IF('Pricing Component '!$B$5*12&gt;=G44,H43+I44,0)</f>
        <v>134078.07805789937</v>
      </c>
      <c r="I44" s="4">
        <f t="shared" si="3"/>
        <v>1006.6424100702635</v>
      </c>
      <c r="J44" s="4">
        <f t="shared" si="4"/>
        <v>301.99272302107903</v>
      </c>
      <c r="K44" s="1">
        <f t="shared" si="5"/>
        <v>254.58565634484148</v>
      </c>
    </row>
    <row r="45" spans="3:11" x14ac:dyDescent="0.25">
      <c r="G45">
        <v>43</v>
      </c>
      <c r="H45" s="4">
        <f>IF('Pricing Component '!$B$5*12&gt;=G45,H44+I45,0)</f>
        <v>135092.33539251614</v>
      </c>
      <c r="I45" s="4">
        <f t="shared" si="3"/>
        <v>1014.2573346167591</v>
      </c>
      <c r="J45" s="4">
        <f t="shared" si="4"/>
        <v>304.2772003850277</v>
      </c>
      <c r="K45" s="1">
        <f t="shared" si="5"/>
        <v>255.47069533258929</v>
      </c>
    </row>
    <row r="46" spans="3:11" x14ac:dyDescent="0.25">
      <c r="G46">
        <v>44</v>
      </c>
      <c r="H46" s="4">
        <f>IF('Pricing Component '!$B$5*12&gt;=G46,H45+I46,0)</f>
        <v>136114.26525612289</v>
      </c>
      <c r="I46" s="4">
        <f t="shared" si="3"/>
        <v>1021.9298636067679</v>
      </c>
      <c r="J46" s="4">
        <f t="shared" si="4"/>
        <v>306.57895908203034</v>
      </c>
      <c r="K46" s="1">
        <f t="shared" si="5"/>
        <v>256.35881106087737</v>
      </c>
    </row>
    <row r="47" spans="3:11" x14ac:dyDescent="0.25">
      <c r="G47">
        <v>45</v>
      </c>
      <c r="H47" s="4">
        <f>IF('Pricing Component '!$B$5*12&gt;=G47,H46+I47,0)</f>
        <v>137143.92568892217</v>
      </c>
      <c r="I47" s="4">
        <f t="shared" si="3"/>
        <v>1029.6604327992907</v>
      </c>
      <c r="J47" s="4">
        <f t="shared" si="4"/>
        <v>308.8981298397872</v>
      </c>
      <c r="K47" s="1">
        <f t="shared" si="5"/>
        <v>257.25001422565521</v>
      </c>
    </row>
    <row r="48" spans="3:11" x14ac:dyDescent="0.25">
      <c r="G48">
        <v>46</v>
      </c>
      <c r="H48" s="4">
        <f>IF('Pricing Component '!$B$5*12&gt;=G48,H47+I48,0)</f>
        <v>138181.37517017187</v>
      </c>
      <c r="I48" s="4">
        <f t="shared" si="3"/>
        <v>1037.4494812497044</v>
      </c>
      <c r="J48" s="4">
        <f t="shared" si="4"/>
        <v>311.23484437491129</v>
      </c>
      <c r="K48" s="1">
        <f t="shared" si="5"/>
        <v>258.14431556005559</v>
      </c>
    </row>
    <row r="49" spans="7:11" x14ac:dyDescent="0.25">
      <c r="G49">
        <v>47</v>
      </c>
      <c r="H49" s="4">
        <f>IF('Pricing Component '!$B$5*12&gt;=G49,H48+I49,0)</f>
        <v>139226.67262150656</v>
      </c>
      <c r="I49" s="4">
        <f t="shared" si="3"/>
        <v>1045.2974513346983</v>
      </c>
      <c r="J49" s="4">
        <f t="shared" si="4"/>
        <v>313.58923540040945</v>
      </c>
      <c r="K49" s="1">
        <f t="shared" si="5"/>
        <v>259.0417258345239</v>
      </c>
    </row>
    <row r="50" spans="7:11" x14ac:dyDescent="0.25">
      <c r="G50">
        <v>48</v>
      </c>
      <c r="H50" s="4">
        <f>IF('Pricing Component '!$B$5*12&gt;=G50,H49+I50,0)</f>
        <v>140279.87741028395</v>
      </c>
      <c r="I50" s="4">
        <f t="shared" si="3"/>
        <v>1053.2047887773977</v>
      </c>
      <c r="J50" s="4">
        <f t="shared" si="4"/>
        <v>315.96143663321931</v>
      </c>
      <c r="K50" s="1">
        <f t="shared" si="5"/>
        <v>259.9422558569479</v>
      </c>
    </row>
    <row r="51" spans="7:11" x14ac:dyDescent="0.25">
      <c r="G51">
        <v>49</v>
      </c>
      <c r="H51" s="4">
        <f>IF('Pricing Component '!$B$5*12&gt;=G51,H50+I51,0)</f>
        <v>141341.04935295664</v>
      </c>
      <c r="I51" s="4">
        <f t="shared" si="3"/>
        <v>1061.17194267268</v>
      </c>
      <c r="J51" s="4">
        <f t="shared" si="4"/>
        <v>318.351582801804</v>
      </c>
      <c r="K51" s="1">
        <f t="shared" si="5"/>
        <v>260.84591647278751</v>
      </c>
    </row>
    <row r="52" spans="7:11" x14ac:dyDescent="0.25">
      <c r="G52">
        <v>50</v>
      </c>
      <c r="H52" s="4">
        <f>IF('Pricing Component '!$B$5*12&gt;=G52,H51+I52,0)</f>
        <v>142410.24871846932</v>
      </c>
      <c r="I52" s="4">
        <f t="shared" si="3"/>
        <v>1069.1993655126801</v>
      </c>
      <c r="J52" s="4">
        <f t="shared" si="4"/>
        <v>320.75980965380398</v>
      </c>
      <c r="K52" s="1">
        <f t="shared" si="5"/>
        <v>261.75271856520595</v>
      </c>
    </row>
    <row r="53" spans="7:11" x14ac:dyDescent="0.25">
      <c r="G53">
        <v>51</v>
      </c>
      <c r="H53" s="4">
        <f>IF('Pricing Component '!$B$5*12&gt;=G53,H52+I53,0)</f>
        <v>143487.53623168179</v>
      </c>
      <c r="I53" s="4">
        <f t="shared" si="3"/>
        <v>1077.2875132124891</v>
      </c>
      <c r="J53" s="4">
        <f t="shared" si="4"/>
        <v>323.18625396374671</v>
      </c>
      <c r="K53" s="1">
        <f t="shared" si="5"/>
        <v>262.66267305520051</v>
      </c>
    </row>
    <row r="54" spans="7:11" x14ac:dyDescent="0.25">
      <c r="G54">
        <v>52</v>
      </c>
      <c r="H54" s="4">
        <f>IF('Pricing Component '!$B$5*12&gt;=G54,H53+I54,0)</f>
        <v>144572.97307681784</v>
      </c>
      <c r="I54" s="4">
        <f t="shared" si="3"/>
        <v>1085.436845136049</v>
      </c>
      <c r="J54" s="4">
        <f t="shared" si="4"/>
        <v>325.63105354081466</v>
      </c>
      <c r="K54" s="1">
        <f t="shared" si="5"/>
        <v>263.57579090173397</v>
      </c>
    </row>
    <row r="55" spans="7:11" x14ac:dyDescent="0.25">
      <c r="G55">
        <v>53</v>
      </c>
      <c r="H55" s="4">
        <f>IF('Pricing Component '!$B$5*12&gt;=G55,H54+I55,0)</f>
        <v>145666.62090094009</v>
      </c>
      <c r="I55" s="4">
        <f t="shared" si="3"/>
        <v>1093.6478241222417</v>
      </c>
      <c r="J55" s="4">
        <f t="shared" si="4"/>
        <v>328.09434723667249</v>
      </c>
      <c r="K55" s="1">
        <f t="shared" si="5"/>
        <v>264.49208310186697</v>
      </c>
    </row>
    <row r="56" spans="7:11" x14ac:dyDescent="0.25">
      <c r="G56">
        <v>54</v>
      </c>
      <c r="H56" s="4">
        <f>IF('Pricing Component '!$B$5*12&gt;=G56,H55+I56,0)</f>
        <v>146768.54181745127</v>
      </c>
      <c r="I56" s="4">
        <f t="shared" si="3"/>
        <v>1101.9209165111754</v>
      </c>
      <c r="J56" s="4">
        <f t="shared" si="4"/>
        <v>330.57627495335259</v>
      </c>
      <c r="K56" s="1">
        <f t="shared" si="5"/>
        <v>265.41156069088998</v>
      </c>
    </row>
    <row r="57" spans="7:11" x14ac:dyDescent="0.25">
      <c r="G57">
        <v>55</v>
      </c>
      <c r="H57" s="4">
        <f>IF('Pricing Component '!$B$5*12&gt;=G57,H56+I57,0)</f>
        <v>147878.79840962196</v>
      </c>
      <c r="I57" s="4">
        <f t="shared" si="3"/>
        <v>1110.2565921706703</v>
      </c>
      <c r="J57" s="4">
        <f t="shared" si="4"/>
        <v>333.07697765120105</v>
      </c>
      <c r="K57" s="1">
        <f t="shared" si="5"/>
        <v>266.3342347424566</v>
      </c>
    </row>
    <row r="58" spans="7:11" x14ac:dyDescent="0.25">
      <c r="G58">
        <v>56</v>
      </c>
      <c r="H58" s="4">
        <f>IF('Pricing Component '!$B$5*12&gt;=G58,H57+I58,0)</f>
        <v>148997.45373414492</v>
      </c>
      <c r="I58" s="4">
        <f t="shared" si="3"/>
        <v>1118.6553245229452</v>
      </c>
      <c r="J58" s="4">
        <f t="shared" si="4"/>
        <v>335.59659735688354</v>
      </c>
      <c r="K58" s="1">
        <f t="shared" si="5"/>
        <v>267.26011636871669</v>
      </c>
    </row>
    <row r="59" spans="7:11" x14ac:dyDescent="0.25">
      <c r="G59">
        <v>57</v>
      </c>
      <c r="H59" s="4">
        <f>IF('Pricing Component '!$B$5*12&gt;=G59,H58+I59,0)</f>
        <v>150124.57132471641</v>
      </c>
      <c r="I59" s="4">
        <f t="shared" si="3"/>
        <v>1127.1175905715049</v>
      </c>
      <c r="J59" s="4">
        <f t="shared" si="4"/>
        <v>338.13527717145149</v>
      </c>
      <c r="K59" s="1">
        <f t="shared" si="5"/>
        <v>268.18921672045047</v>
      </c>
    </row>
    <row r="60" spans="7:11" x14ac:dyDescent="0.25">
      <c r="G60">
        <v>58</v>
      </c>
      <c r="H60" s="4">
        <f>IF('Pricing Component '!$B$5*12&gt;=G60,H59+I60,0)</f>
        <v>151260.21519564465</v>
      </c>
      <c r="I60" s="4">
        <f t="shared" si="3"/>
        <v>1135.6438709282313</v>
      </c>
      <c r="J60" s="4">
        <f t="shared" si="4"/>
        <v>340.6931612784694</v>
      </c>
      <c r="K60" s="1">
        <f t="shared" si="5"/>
        <v>269.12154698720218</v>
      </c>
    </row>
    <row r="61" spans="7:11" x14ac:dyDescent="0.25">
      <c r="G61">
        <v>59</v>
      </c>
      <c r="H61" s="4">
        <f>IF('Pricing Component '!$B$5*12&gt;=G61,H60+I61,0)</f>
        <v>152404.44984548533</v>
      </c>
      <c r="I61" s="4">
        <f t="shared" si="3"/>
        <v>1144.2346498406807</v>
      </c>
      <c r="J61" s="4">
        <f t="shared" si="4"/>
        <v>343.27039495220419</v>
      </c>
      <c r="K61" s="1">
        <f t="shared" si="5"/>
        <v>270.05711839741571</v>
      </c>
    </row>
    <row r="62" spans="7:11" x14ac:dyDescent="0.25">
      <c r="G62">
        <v>60</v>
      </c>
      <c r="H62" s="4">
        <f>IF('Pricing Component '!$B$5*12&gt;=G62,H61+I62,0)</f>
        <v>153557.34026070492</v>
      </c>
      <c r="I62" s="4">
        <f t="shared" si="3"/>
        <v>1152.8904152195846</v>
      </c>
      <c r="J62" s="4">
        <f t="shared" si="4"/>
        <v>345.86712456587537</v>
      </c>
      <c r="K62" s="1">
        <f t="shared" si="5"/>
        <v>270.99594221856933</v>
      </c>
    </row>
    <row r="63" spans="7:11" x14ac:dyDescent="0.25">
      <c r="G63">
        <v>61</v>
      </c>
      <c r="H63" s="4">
        <f>IF('Pricing Component '!$B$5*12&gt;=G63,H62+I63,0)</f>
        <v>154718.9519193715</v>
      </c>
      <c r="I63" s="4">
        <f t="shared" si="3"/>
        <v>1161.6116586665623</v>
      </c>
      <c r="J63" s="4">
        <f t="shared" si="4"/>
        <v>348.4834975999687</v>
      </c>
      <c r="K63" s="1">
        <f t="shared" si="5"/>
        <v>271.93802975731114</v>
      </c>
    </row>
    <row r="64" spans="7:11" x14ac:dyDescent="0.25">
      <c r="G64">
        <v>62</v>
      </c>
      <c r="H64" s="4">
        <f>IF('Pricing Component '!$B$5*12&gt;=G64,H63+I64,0)</f>
        <v>155889.35079487355</v>
      </c>
      <c r="I64" s="4">
        <f t="shared" si="3"/>
        <v>1170.3988755020405</v>
      </c>
      <c r="J64" s="4">
        <f t="shared" si="4"/>
        <v>351.11966265061216</v>
      </c>
      <c r="K64" s="1">
        <f t="shared" si="5"/>
        <v>272.88339235959603</v>
      </c>
    </row>
    <row r="65" spans="7:11" x14ac:dyDescent="0.25">
      <c r="G65">
        <v>63</v>
      </c>
      <c r="H65" s="4">
        <f>IF('Pricing Component '!$B$5*12&gt;=G65,H64+I65,0)</f>
        <v>157068.60335966694</v>
      </c>
      <c r="I65" s="4">
        <f t="shared" si="3"/>
        <v>1179.2525647933842</v>
      </c>
      <c r="J65" s="4">
        <f t="shared" si="4"/>
        <v>353.77576943801523</v>
      </c>
      <c r="K65" s="1">
        <f t="shared" si="5"/>
        <v>273.83204141082143</v>
      </c>
    </row>
    <row r="66" spans="7:11" x14ac:dyDescent="0.25">
      <c r="G66">
        <v>64</v>
      </c>
      <c r="H66" s="4">
        <f>IF('Pricing Component '!$B$5*12&gt;=G66,H65+I66,0)</f>
        <v>158256.77658905019</v>
      </c>
      <c r="I66" s="4">
        <f t="shared" si="3"/>
        <v>1188.1732293832422</v>
      </c>
      <c r="J66" s="4">
        <f t="shared" si="4"/>
        <v>356.45196881497264</v>
      </c>
      <c r="K66" s="1">
        <f t="shared" si="5"/>
        <v>274.7839883359652</v>
      </c>
    </row>
    <row r="67" spans="7:11" x14ac:dyDescent="0.25">
      <c r="G67">
        <v>65</v>
      </c>
      <c r="H67" s="4">
        <f>IF('Pricing Component '!$B$5*12&gt;=G67,H66+I67,0)</f>
        <v>159453.9379649683</v>
      </c>
      <c r="I67" s="4">
        <f t="shared" si="3"/>
        <v>1197.1613759181055</v>
      </c>
      <c r="J67" s="4">
        <f t="shared" si="4"/>
        <v>359.14841277543161</v>
      </c>
      <c r="K67" s="1">
        <f t="shared" si="5"/>
        <v>275.73924459972244</v>
      </c>
    </row>
    <row r="68" spans="7:11" x14ac:dyDescent="0.25">
      <c r="G68">
        <v>66</v>
      </c>
      <c r="H68" s="4">
        <f>IF('Pricing Component '!$B$5*12&gt;=G68,H67+I68,0)</f>
        <v>160660.15547984539</v>
      </c>
      <c r="I68" s="4">
        <f t="shared" si="3"/>
        <v>1206.2175148770818</v>
      </c>
      <c r="J68" s="4">
        <f t="shared" si="4"/>
        <v>361.86525446312453</v>
      </c>
      <c r="K68" s="1">
        <f t="shared" si="5"/>
        <v>276.6978217066445</v>
      </c>
    </row>
    <row r="69" spans="7:11" x14ac:dyDescent="0.25">
      <c r="G69">
        <v>67</v>
      </c>
      <c r="H69" s="4">
        <f>IF('Pricing Component '!$B$5*12&gt;=G69,H68+I69,0)</f>
        <v>161875.49764044626</v>
      </c>
      <c r="I69" s="4">
        <f t="shared" si="3"/>
        <v>1215.342160600889</v>
      </c>
      <c r="J69" s="4">
        <f t="shared" si="4"/>
        <v>364.60264818026667</v>
      </c>
      <c r="K69" s="1">
        <f t="shared" si="5"/>
        <v>277.65973120127671</v>
      </c>
    </row>
    <row r="70" spans="7:11" x14ac:dyDescent="0.25">
      <c r="G70">
        <v>68</v>
      </c>
      <c r="H70" s="4">
        <f>IF('Pricing Component '!$B$5*12&gt;=G70,H69+I70,0)</f>
        <v>163100.03347176732</v>
      </c>
      <c r="I70" s="4">
        <f t="shared" si="3"/>
        <v>1224.5358313210654</v>
      </c>
      <c r="J70" s="4">
        <f t="shared" si="4"/>
        <v>367.36074939631959</v>
      </c>
      <c r="K70" s="1">
        <f t="shared" si="5"/>
        <v>278.62498466829794</v>
      </c>
    </row>
    <row r="71" spans="7:11" x14ac:dyDescent="0.25">
      <c r="G71">
        <v>69</v>
      </c>
      <c r="H71" s="4">
        <f>IF('Pricing Component '!$B$5*12&gt;=G71,H70+I71,0)</f>
        <v>164333.83252095673</v>
      </c>
      <c r="I71" s="4">
        <f t="shared" si="3"/>
        <v>1233.7990491894038</v>
      </c>
      <c r="J71" s="4">
        <f t="shared" si="4"/>
        <v>370.13971475682115</v>
      </c>
      <c r="K71" s="1">
        <f t="shared" si="5"/>
        <v>279.5935937326596</v>
      </c>
    </row>
    <row r="72" spans="7:11" x14ac:dyDescent="0.25">
      <c r="G72">
        <v>70</v>
      </c>
      <c r="H72" s="4">
        <f>IF('Pricing Component '!$B$5*12&gt;=G72,H71+I72,0)</f>
        <v>165576.96486126434</v>
      </c>
      <c r="I72" s="4">
        <f t="shared" si="3"/>
        <v>1243.1323403076069</v>
      </c>
      <c r="J72" s="4">
        <f t="shared" si="4"/>
        <v>372.93970209228206</v>
      </c>
      <c r="K72" s="1">
        <f t="shared" si="5"/>
        <v>280.56557005972638</v>
      </c>
    </row>
    <row r="73" spans="7:11" x14ac:dyDescent="0.25">
      <c r="G73">
        <v>71</v>
      </c>
      <c r="H73" s="4">
        <f>IF('Pricing Component '!$B$5*12&gt;=G73,H72+I73,0)</f>
        <v>166829.5010960215</v>
      </c>
      <c r="I73" s="4">
        <f t="shared" si="3"/>
        <v>1252.5362347571665</v>
      </c>
      <c r="J73" s="4">
        <f t="shared" si="4"/>
        <v>375.76087042714994</v>
      </c>
      <c r="K73" s="1">
        <f t="shared" si="5"/>
        <v>281.54092535541599</v>
      </c>
    </row>
    <row r="74" spans="7:11" x14ac:dyDescent="0.25">
      <c r="G74">
        <v>72</v>
      </c>
      <c r="H74" s="4">
        <f>IF('Pricing Component '!$B$5*12&gt;=G74,H73+I74,0)</f>
        <v>168091.51236265097</v>
      </c>
      <c r="I74" s="4">
        <f t="shared" si="3"/>
        <v>1262.0112666294694</v>
      </c>
      <c r="J74" s="4">
        <f t="shared" si="4"/>
        <v>378.6033799888408</v>
      </c>
      <c r="K74" s="1">
        <f t="shared" si="5"/>
        <v>282.51967136634067</v>
      </c>
    </row>
    <row r="75" spans="7:11" x14ac:dyDescent="0.25">
      <c r="G75">
        <v>73</v>
      </c>
      <c r="H75" s="4">
        <f>IF('Pricing Component '!$B$5*12&gt;=G75,H74+I75,0)</f>
        <v>169363.07033670711</v>
      </c>
      <c r="I75" s="4">
        <f t="shared" si="3"/>
        <v>1271.5579740561316</v>
      </c>
      <c r="J75" s="4">
        <f t="shared" si="4"/>
        <v>381.46739221683947</v>
      </c>
      <c r="K75" s="1">
        <f t="shared" si="5"/>
        <v>283.5018198799483</v>
      </c>
    </row>
    <row r="76" spans="7:11" x14ac:dyDescent="0.25">
      <c r="G76">
        <v>74</v>
      </c>
      <c r="H76" s="4">
        <f>IF('Pricing Component '!$B$5*12&gt;=G76,H75+I76,0)</f>
        <v>170644.24723594668</v>
      </c>
      <c r="I76" s="4">
        <f t="shared" si="3"/>
        <v>1281.1768992395603</v>
      </c>
      <c r="J76" s="4">
        <f t="shared" si="4"/>
        <v>384.35306977186809</v>
      </c>
      <c r="K76" s="1">
        <f t="shared" si="5"/>
        <v>284.48738272466471</v>
      </c>
    </row>
    <row r="77" spans="7:11" x14ac:dyDescent="0.25">
      <c r="G77">
        <v>75</v>
      </c>
      <c r="H77" s="4">
        <f>IF('Pricing Component '!$B$5*12&gt;=G77,H76+I77,0)</f>
        <v>171935.11582443042</v>
      </c>
      <c r="I77" s="4">
        <f t="shared" si="3"/>
        <v>1290.8685884837494</v>
      </c>
      <c r="J77" s="4">
        <f t="shared" si="4"/>
        <v>387.26057654512482</v>
      </c>
      <c r="K77" s="1">
        <f t="shared" si="5"/>
        <v>285.47637177003588</v>
      </c>
    </row>
    <row r="78" spans="7:11" x14ac:dyDescent="0.25">
      <c r="G78">
        <v>76</v>
      </c>
      <c r="H78" s="4">
        <f>IF('Pricing Component '!$B$5*12&gt;=G78,H77+I78,0)</f>
        <v>173235.74941665572</v>
      </c>
      <c r="I78" s="4">
        <f t="shared" si="3"/>
        <v>1300.6335922253054</v>
      </c>
      <c r="J78" s="4">
        <f t="shared" si="4"/>
        <v>390.19007766759159</v>
      </c>
      <c r="K78" s="1">
        <f t="shared" si="5"/>
        <v>286.46879892687087</v>
      </c>
    </row>
    <row r="79" spans="7:11" x14ac:dyDescent="0.25">
      <c r="G79">
        <v>77</v>
      </c>
      <c r="H79" s="4">
        <f>IF('Pricing Component '!$B$5*12&gt;=G79,H78+I79,0)</f>
        <v>174546.22188172041</v>
      </c>
      <c r="I79" s="4">
        <f t="shared" si="3"/>
        <v>1310.4724650647099</v>
      </c>
      <c r="J79" s="4">
        <f t="shared" si="4"/>
        <v>393.14173951941297</v>
      </c>
      <c r="K79" s="1">
        <f t="shared" si="5"/>
        <v>287.46467614738538</v>
      </c>
    </row>
    <row r="80" spans="7:11" x14ac:dyDescent="0.25">
      <c r="G80">
        <v>78</v>
      </c>
      <c r="H80" s="4">
        <f>IF('Pricing Component '!$B$5*12&gt;=G80,H79+I80,0)</f>
        <v>175866.60764751822</v>
      </c>
      <c r="I80" s="4">
        <f t="shared" si="3"/>
        <v>1320.3857657978187</v>
      </c>
      <c r="J80" s="4">
        <f t="shared" si="4"/>
        <v>396.11572973934562</v>
      </c>
      <c r="K80" s="1">
        <f t="shared" si="5"/>
        <v>288.46401542534585</v>
      </c>
    </row>
    <row r="81" spans="7:11" x14ac:dyDescent="0.25">
      <c r="G81">
        <v>79</v>
      </c>
      <c r="H81" s="4">
        <f>IF('Pricing Component '!$B$5*12&gt;=G81,H80+I81,0)</f>
        <v>177196.98170496582</v>
      </c>
      <c r="I81" s="4">
        <f t="shared" si="3"/>
        <v>1330.3740574475967</v>
      </c>
      <c r="J81" s="4">
        <f t="shared" si="4"/>
        <v>399.112217234279</v>
      </c>
      <c r="K81" s="1">
        <f t="shared" si="5"/>
        <v>289.46682879621346</v>
      </c>
    </row>
    <row r="82" spans="7:11" x14ac:dyDescent="0.25">
      <c r="G82">
        <v>80</v>
      </c>
      <c r="H82" s="4">
        <f>IF('Pricing Component '!$B$5*12&gt;=G82,H81+I82,0)</f>
        <v>178537.4196122619</v>
      </c>
      <c r="I82" s="4">
        <f t="shared" si="3"/>
        <v>1340.437907296096</v>
      </c>
      <c r="J82" s="4">
        <f t="shared" si="4"/>
        <v>402.13137218882878</v>
      </c>
      <c r="K82" s="1">
        <f t="shared" si="5"/>
        <v>290.47312833728955</v>
      </c>
    </row>
    <row r="83" spans="7:11" x14ac:dyDescent="0.25">
      <c r="G83">
        <v>81</v>
      </c>
      <c r="H83" s="4">
        <f>IF('Pricing Component '!$B$5*12&gt;=G83,H82+I83,0)</f>
        <v>179887.99749917857</v>
      </c>
      <c r="I83" s="4">
        <f t="shared" si="3"/>
        <v>1350.5778869166743</v>
      </c>
      <c r="J83" s="4">
        <f t="shared" si="4"/>
        <v>405.17336607500226</v>
      </c>
      <c r="K83" s="1">
        <f t="shared" si="5"/>
        <v>291.48292616786085</v>
      </c>
    </row>
    <row r="84" spans="7:11" x14ac:dyDescent="0.25">
      <c r="G84">
        <v>82</v>
      </c>
      <c r="H84" s="4">
        <f>IF('Pricing Component '!$B$5*12&gt;=G84,H83+I84,0)</f>
        <v>181248.79207138502</v>
      </c>
      <c r="I84" s="4">
        <f t="shared" si="3"/>
        <v>1360.7945722064567</v>
      </c>
      <c r="J84" s="4">
        <f t="shared" si="4"/>
        <v>408.23837166193698</v>
      </c>
      <c r="K84" s="1">
        <f t="shared" si="5"/>
        <v>292.49623444934531</v>
      </c>
    </row>
    <row r="85" spans="7:11" x14ac:dyDescent="0.25">
      <c r="G85">
        <v>83</v>
      </c>
      <c r="H85" s="4">
        <f>IF('Pricing Component '!$B$5*12&gt;=G85,H84+I85,0)</f>
        <v>182619.88061480407</v>
      </c>
      <c r="I85" s="4">
        <f t="shared" si="3"/>
        <v>1371.0885434190441</v>
      </c>
      <c r="J85" s="4">
        <f t="shared" si="4"/>
        <v>411.3265630257132</v>
      </c>
      <c r="K85" s="1">
        <f t="shared" si="5"/>
        <v>293.51306538543878</v>
      </c>
    </row>
    <row r="86" spans="7:11" x14ac:dyDescent="0.25">
      <c r="G86">
        <v>84</v>
      </c>
      <c r="H86" s="4">
        <f>IF('Pricing Component '!$B$5*12&gt;=G86,H85+I86,0)</f>
        <v>184001.34100000156</v>
      </c>
      <c r="I86" s="4">
        <f t="shared" si="3"/>
        <v>1381.4603851974687</v>
      </c>
      <c r="J86" s="4">
        <f t="shared" si="4"/>
        <v>414.4381155592406</v>
      </c>
      <c r="K86" s="1">
        <f t="shared" si="5"/>
        <v>294.5334312222621</v>
      </c>
    </row>
  </sheetData>
  <mergeCells count="1">
    <mergeCell ref="C14:F15"/>
  </mergeCells>
  <dataValidations count="4">
    <dataValidation type="list" allowBlank="1" showInputMessage="1" showErrorMessage="1" sqref="B10" xr:uid="{7C5A1D2D-188D-4886-87C2-3A0AC078FF8A}">
      <formula1>"3%,4%,5%,6%,7%,8%,9%"</formula1>
    </dataValidation>
    <dataValidation type="list" allowBlank="1" showInputMessage="1" showErrorMessage="1" sqref="B11" xr:uid="{601698E5-E918-4C58-B127-60CEDD6B50E2}">
      <formula1>"1,2,3,4,5,6,7,8,9,10,11,12"</formula1>
    </dataValidation>
    <dataValidation type="list" allowBlank="1" showInputMessage="1" showErrorMessage="1" sqref="B5" xr:uid="{1586FC3B-8396-4A72-A441-473A78B4B13B}">
      <formula1>"1,3,5,7"</formula1>
    </dataValidation>
    <dataValidation type="list" allowBlank="1" showInputMessage="1" showErrorMessage="1" sqref="B2" xr:uid="{153DF06E-C89A-4C99-B1F4-15600FA8B55B}">
      <formula1>"25%,50%,60%,70%,80%,90%,100%"</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605BE-5415-43C5-BD7C-8B14D14BD37E}">
  <sheetPr codeName="Sheet4"/>
  <dimension ref="A2:S97"/>
  <sheetViews>
    <sheetView topLeftCell="A58" workbookViewId="0">
      <selection activeCell="B16" sqref="B16:E16"/>
    </sheetView>
  </sheetViews>
  <sheetFormatPr defaultRowHeight="15" x14ac:dyDescent="0.25"/>
  <cols>
    <col min="1" max="1" width="19.42578125" bestFit="1" customWidth="1"/>
    <col min="2" max="2" width="12.85546875" bestFit="1" customWidth="1"/>
    <col min="3" max="3" width="12.85546875" style="4" hidden="1" customWidth="1"/>
    <col min="4" max="4" width="15.140625" style="4" hidden="1" customWidth="1"/>
    <col min="5" max="5" width="14" style="4" hidden="1" customWidth="1"/>
    <col min="6" max="7" width="15.28515625" style="4" hidden="1" customWidth="1"/>
    <col min="8" max="8" width="10.42578125" style="4" hidden="1" customWidth="1"/>
    <col min="9" max="11" width="0" hidden="1" customWidth="1"/>
    <col min="12" max="12" width="12.5703125" hidden="1" customWidth="1"/>
    <col min="13" max="14" width="13.5703125" bestFit="1" customWidth="1"/>
    <col min="15" max="17" width="12.42578125" customWidth="1"/>
    <col min="19" max="19" width="12.5703125" bestFit="1" customWidth="1"/>
  </cols>
  <sheetData>
    <row r="2" spans="1:17" x14ac:dyDescent="0.25">
      <c r="A2" t="s">
        <v>27</v>
      </c>
      <c r="B2" s="7">
        <f>'Pricing Component 1'!B55</f>
        <v>22411.466279999673</v>
      </c>
    </row>
    <row r="3" spans="1:17" x14ac:dyDescent="0.25">
      <c r="A3" s="6" t="s">
        <v>67</v>
      </c>
      <c r="B3" s="58">
        <f>'Pricing Component 1'!C75</f>
        <v>0.24193518245884352</v>
      </c>
    </row>
    <row r="4" spans="1:17" x14ac:dyDescent="0.25">
      <c r="B4" s="1"/>
    </row>
    <row r="5" spans="1:17" x14ac:dyDescent="0.25">
      <c r="B5" s="1"/>
    </row>
    <row r="6" spans="1:17" x14ac:dyDescent="0.25">
      <c r="B6" s="1"/>
    </row>
    <row r="7" spans="1:17" s="27" customFormat="1" ht="45" x14ac:dyDescent="0.25">
      <c r="A7" s="27" t="s">
        <v>2</v>
      </c>
      <c r="B7" s="30" t="s">
        <v>14</v>
      </c>
      <c r="C7" s="74" t="s">
        <v>8</v>
      </c>
      <c r="D7" s="74" t="s">
        <v>29</v>
      </c>
      <c r="E7" s="74" t="s">
        <v>18</v>
      </c>
      <c r="F7" s="29" t="s">
        <v>31</v>
      </c>
      <c r="G7" s="29" t="s">
        <v>27</v>
      </c>
      <c r="H7" s="29" t="s">
        <v>32</v>
      </c>
      <c r="I7" s="30" t="s">
        <v>30</v>
      </c>
      <c r="M7" s="74" t="s">
        <v>29</v>
      </c>
      <c r="N7" s="74" t="s">
        <v>18</v>
      </c>
      <c r="O7" s="29" t="s">
        <v>31</v>
      </c>
      <c r="P7" s="29" t="s">
        <v>27</v>
      </c>
      <c r="Q7" s="29" t="s">
        <v>32</v>
      </c>
    </row>
    <row r="8" spans="1:17" x14ac:dyDescent="0.25">
      <c r="A8">
        <v>0</v>
      </c>
      <c r="B8" s="22">
        <f>EOMONTH('Pricing Component 1'!$B$33,0)</f>
        <v>31</v>
      </c>
      <c r="D8" s="4">
        <f>'Pricing Component 1'!F4</f>
        <v>95240</v>
      </c>
      <c r="G8" s="4">
        <f>B2</f>
        <v>22411.466279999673</v>
      </c>
      <c r="I8">
        <f t="shared" ref="I8:I39" si="0">IF(A8&gt;0,1,0)</f>
        <v>0</v>
      </c>
      <c r="L8" s="3"/>
      <c r="P8" s="7">
        <f>B2</f>
        <v>22411.466279999673</v>
      </c>
    </row>
    <row r="9" spans="1:17" x14ac:dyDescent="0.25">
      <c r="A9">
        <f>IF(nfi*12&gt;ROW()-14,'Life Accounting'!A8+1,0)</f>
        <v>1</v>
      </c>
      <c r="B9" s="22">
        <f>IF(A9&gt;0,EOMONTH(B8,1),0)</f>
        <v>59</v>
      </c>
      <c r="D9" s="4">
        <f t="shared" ref="D9:D45" si="1">((D8+E9)-(C9*1000))*I9</f>
        <v>95960.459824216654</v>
      </c>
      <c r="E9" s="4">
        <f t="shared" ref="E9:E40" si="2">(IF(nfi*12&gt;=A9,D8*(ced-1),0))*I9</f>
        <v>720.45982421664758</v>
      </c>
      <c r="F9" s="4">
        <f>E9*$B$3</f>
        <v>174.30457902612096</v>
      </c>
      <c r="G9" s="4">
        <f>(G8-F9)</f>
        <v>22237.161700973553</v>
      </c>
      <c r="H9" s="4">
        <f t="shared" ref="H9:H40" si="3">G8*((1+rfr)^(1/12)-1)</f>
        <v>91.307087797779758</v>
      </c>
      <c r="I9">
        <f t="shared" si="0"/>
        <v>1</v>
      </c>
      <c r="L9" s="1">
        <f>B9-B8</f>
        <v>28</v>
      </c>
      <c r="M9" s="1">
        <f>D8*'Pricing Component 1'!$B$22</f>
        <v>95883.350102111537</v>
      </c>
      <c r="N9" s="1">
        <f>M9-D8</f>
        <v>643.35010211153713</v>
      </c>
      <c r="O9" s="1">
        <f>N9*'Pricing Component 1'!$B$75</f>
        <v>193.00503063346113</v>
      </c>
      <c r="P9" s="4">
        <f>(P8-O9)</f>
        <v>22218.461249366213</v>
      </c>
      <c r="Q9" s="4">
        <f t="shared" ref="Q9:Q24" si="4">P8*((1+rfr)^(1/12)-1)</f>
        <v>91.307087797779758</v>
      </c>
    </row>
    <row r="10" spans="1:17" x14ac:dyDescent="0.25">
      <c r="A10">
        <f>IF(nfi*12&gt;ROW()-14,'Life Accounting'!A9+1,0)</f>
        <v>2</v>
      </c>
      <c r="B10" s="22">
        <f t="shared" ref="B10:B67" si="5">IF(A10&gt;0,EOMONTH(B9,1),0)</f>
        <v>91</v>
      </c>
      <c r="D10" s="4">
        <f t="shared" si="1"/>
        <v>96686.36969419464</v>
      </c>
      <c r="E10" s="4">
        <f t="shared" si="2"/>
        <v>725.90986997799041</v>
      </c>
      <c r="F10" s="4">
        <f t="shared" ref="F10:F73" si="6">E10*$B$3</f>
        <v>175.62313684180049</v>
      </c>
      <c r="G10" s="4">
        <f>(G9-F10)</f>
        <v>22061.538564131752</v>
      </c>
      <c r="H10" s="4">
        <f t="shared" si="3"/>
        <v>90.59694936677063</v>
      </c>
      <c r="I10">
        <f t="shared" si="0"/>
        <v>1</v>
      </c>
      <c r="L10" s="1">
        <f>B10-B9</f>
        <v>32</v>
      </c>
      <c r="M10" s="1">
        <f>D9*'Pricing Component 1'!$B$22</f>
        <v>96608.676661958991</v>
      </c>
      <c r="N10" s="1">
        <f>M10-D9</f>
        <v>648.21683774233679</v>
      </c>
      <c r="O10" s="1">
        <f>N10*'Pricing Component 1'!$B$75</f>
        <v>194.46505132270104</v>
      </c>
      <c r="P10" s="4">
        <f t="shared" ref="P10:P73" si="7">(P9-O10)</f>
        <v>22023.996198043511</v>
      </c>
      <c r="Q10" s="4">
        <f t="shared" si="4"/>
        <v>90.520761412112194</v>
      </c>
    </row>
    <row r="11" spans="1:17" x14ac:dyDescent="0.25">
      <c r="A11">
        <f>IF(nfi*12&gt;ROW()-14,'Life Accounting'!A10+1,0)</f>
        <v>3</v>
      </c>
      <c r="B11" s="22">
        <f t="shared" si="5"/>
        <v>121</v>
      </c>
      <c r="D11" s="4">
        <f t="shared" si="1"/>
        <v>97417.770837769029</v>
      </c>
      <c r="E11" s="4">
        <f t="shared" si="2"/>
        <v>731.40114357439381</v>
      </c>
      <c r="F11" s="4">
        <f t="shared" si="6"/>
        <v>176.95166912127777</v>
      </c>
      <c r="G11" s="4">
        <f t="shared" ref="G11:G74" si="8">(G10-F11)</f>
        <v>21884.586895010474</v>
      </c>
      <c r="H11" s="4">
        <f t="shared" si="3"/>
        <v>89.881438968004517</v>
      </c>
      <c r="I11">
        <f t="shared" si="0"/>
        <v>1</v>
      </c>
      <c r="L11" s="1">
        <f>B11-B10</f>
        <v>30</v>
      </c>
      <c r="M11" s="1">
        <f>D10*'Pricing Component 1'!$B$22</f>
        <v>97339.490082850185</v>
      </c>
      <c r="N11" s="1">
        <f>M11-D10</f>
        <v>653.12038865554496</v>
      </c>
      <c r="O11" s="1">
        <f>N11*'Pricing Component 1'!$B$75</f>
        <v>195.93611659666348</v>
      </c>
      <c r="P11" s="4">
        <f t="shared" si="7"/>
        <v>21828.060081446849</v>
      </c>
      <c r="Q11" s="4">
        <f t="shared" si="4"/>
        <v>89.728486721429974</v>
      </c>
    </row>
    <row r="12" spans="1:17" x14ac:dyDescent="0.25">
      <c r="A12">
        <f>IF(nfi*12&gt;ROW()-14,'Life Accounting'!A11+1,0)</f>
        <v>4</v>
      </c>
      <c r="B12" s="22">
        <f t="shared" si="5"/>
        <v>152</v>
      </c>
      <c r="C12" s="65"/>
      <c r="D12" s="4">
        <f t="shared" si="1"/>
        <v>98154.704794650141</v>
      </c>
      <c r="E12" s="4">
        <f t="shared" si="2"/>
        <v>736.93395688110809</v>
      </c>
      <c r="F12" s="4">
        <f t="shared" si="6"/>
        <v>178.29025131814839</v>
      </c>
      <c r="G12" s="4">
        <f t="shared" si="8"/>
        <v>21706.296643692327</v>
      </c>
      <c r="H12" s="4">
        <f t="shared" si="3"/>
        <v>89.160515964281245</v>
      </c>
      <c r="I12">
        <f t="shared" si="0"/>
        <v>1</v>
      </c>
      <c r="L12" s="1">
        <f t="shared" ref="L12:L75" si="9">B12-B11</f>
        <v>31</v>
      </c>
      <c r="M12" s="1">
        <f>D11*'Pricing Component 1'!$B$22</f>
        <v>98075.831871115908</v>
      </c>
      <c r="N12" s="1">
        <f t="shared" ref="N12:N75" si="10">M12-D11</f>
        <v>658.06103334687941</v>
      </c>
      <c r="O12" s="1">
        <f>N12*'Pricing Component 1'!$B$75</f>
        <v>197.41831000406381</v>
      </c>
      <c r="P12" s="4">
        <f t="shared" si="7"/>
        <v>21630.641771442784</v>
      </c>
      <c r="Q12" s="4">
        <f t="shared" si="4"/>
        <v>88.930218728727823</v>
      </c>
    </row>
    <row r="13" spans="1:17" x14ac:dyDescent="0.25">
      <c r="A13">
        <f>IF(nfi*12&gt;ROW()-14,'Life Accounting'!A12+1,0)</f>
        <v>5</v>
      </c>
      <c r="B13" s="22">
        <f t="shared" si="5"/>
        <v>182</v>
      </c>
      <c r="D13" s="4">
        <f t="shared" si="1"/>
        <v>98897.213418782761</v>
      </c>
      <c r="E13" s="4">
        <f t="shared" si="2"/>
        <v>742.50862413261837</v>
      </c>
      <c r="F13" s="4">
        <f t="shared" si="6"/>
        <v>179.63895945678988</v>
      </c>
      <c r="G13" s="4">
        <f t="shared" si="8"/>
        <v>21526.657684235539</v>
      </c>
      <c r="H13" s="4">
        <f t="shared" si="3"/>
        <v>88.434139410993339</v>
      </c>
      <c r="I13">
        <f t="shared" si="0"/>
        <v>1</v>
      </c>
      <c r="L13" s="1">
        <f t="shared" si="9"/>
        <v>30</v>
      </c>
      <c r="M13" s="1">
        <f>D12*'Pricing Component 1'!$B$22</f>
        <v>98817.743847068938</v>
      </c>
      <c r="N13" s="1">
        <f t="shared" si="10"/>
        <v>663.03905241879693</v>
      </c>
      <c r="O13" s="1">
        <f>N13*'Pricing Component 1'!$B$75</f>
        <v>198.91171572563908</v>
      </c>
      <c r="P13" s="4">
        <f t="shared" si="7"/>
        <v>21431.730055717144</v>
      </c>
      <c r="Q13" s="4">
        <f t="shared" si="4"/>
        <v>88.125912096612595</v>
      </c>
    </row>
    <row r="14" spans="1:17" x14ac:dyDescent="0.25">
      <c r="A14">
        <f>IF(nfi*12&gt;ROW()-14,'Life Accounting'!A13+1,0)</f>
        <v>6</v>
      </c>
      <c r="B14" s="22">
        <f t="shared" si="5"/>
        <v>213</v>
      </c>
      <c r="D14" s="4">
        <f t="shared" si="1"/>
        <v>99645.338880723255</v>
      </c>
      <c r="E14" s="4">
        <f t="shared" si="2"/>
        <v>748.12546194049253</v>
      </c>
      <c r="F14" s="4">
        <f t="shared" si="6"/>
        <v>180.99787013667964</v>
      </c>
      <c r="G14" s="4">
        <f t="shared" si="8"/>
        <v>21345.659814098861</v>
      </c>
      <c r="H14" s="4">
        <f t="shared" si="3"/>
        <v>87.702268053800594</v>
      </c>
      <c r="I14">
        <f t="shared" si="0"/>
        <v>1</v>
      </c>
      <c r="L14" s="1">
        <f t="shared" si="9"/>
        <v>31</v>
      </c>
      <c r="M14" s="1">
        <f>D13*'Pricing Component 1'!$B$22</f>
        <v>99565.26814737916</v>
      </c>
      <c r="N14" s="1">
        <f t="shared" si="10"/>
        <v>668.05472859639849</v>
      </c>
      <c r="O14" s="1">
        <f>N14*'Pricing Component 1'!$B$75</f>
        <v>200.41641857891955</v>
      </c>
      <c r="P14" s="4">
        <f t="shared" si="7"/>
        <v>21231.313637138224</v>
      </c>
      <c r="Q14" s="4">
        <f t="shared" si="4"/>
        <v>87.315521144728464</v>
      </c>
    </row>
    <row r="15" spans="1:17" x14ac:dyDescent="0.25">
      <c r="A15">
        <f>IF(nfi*12&gt;ROW()-14,'Life Accounting'!A14+1,0)</f>
        <v>7</v>
      </c>
      <c r="B15" s="22">
        <f t="shared" si="5"/>
        <v>244</v>
      </c>
      <c r="D15" s="4">
        <f t="shared" si="1"/>
        <v>100399.12367003462</v>
      </c>
      <c r="E15" s="4">
        <f t="shared" si="2"/>
        <v>753.78478931136237</v>
      </c>
      <c r="F15" s="4">
        <f t="shared" si="6"/>
        <v>182.36706053674538</v>
      </c>
      <c r="G15" s="4">
        <f t="shared" si="8"/>
        <v>21163.292753562117</v>
      </c>
      <c r="H15" s="4">
        <f t="shared" si="3"/>
        <v>86.964860326287067</v>
      </c>
      <c r="I15">
        <f t="shared" si="0"/>
        <v>1</v>
      </c>
      <c r="L15" s="1">
        <f t="shared" si="9"/>
        <v>31</v>
      </c>
      <c r="M15" s="1">
        <f>D14*'Pricing Component 1'!$B$22</f>
        <v>100318.44722746676</v>
      </c>
      <c r="N15" s="1">
        <f t="shared" si="10"/>
        <v>673.10834674350917</v>
      </c>
      <c r="O15" s="1">
        <f>N15*'Pricing Component 1'!$B$75</f>
        <v>201.93250402305276</v>
      </c>
      <c r="P15" s="4">
        <f t="shared" si="7"/>
        <v>21029.38113311517</v>
      </c>
      <c r="Q15" s="4">
        <f t="shared" si="4"/>
        <v>86.498999847162466</v>
      </c>
    </row>
    <row r="16" spans="1:17" x14ac:dyDescent="0.25">
      <c r="A16">
        <f>IF(nfi*12&gt;ROW()-14,'Life Accounting'!A15+1,0)</f>
        <v>8</v>
      </c>
      <c r="B16" s="22">
        <f t="shared" si="5"/>
        <v>274</v>
      </c>
      <c r="D16" s="4">
        <f t="shared" si="1"/>
        <v>101158.61059769966</v>
      </c>
      <c r="E16" s="4">
        <f t="shared" si="2"/>
        <v>759.486927665042</v>
      </c>
      <c r="F16" s="4">
        <f t="shared" si="6"/>
        <v>183.74660841974841</v>
      </c>
      <c r="G16" s="4">
        <f t="shared" si="8"/>
        <v>20979.546145142369</v>
      </c>
      <c r="H16" s="4">
        <f t="shared" si="3"/>
        <v>86.221874347600277</v>
      </c>
      <c r="I16">
        <f t="shared" si="0"/>
        <v>1</v>
      </c>
      <c r="L16" s="1">
        <f t="shared" si="9"/>
        <v>30</v>
      </c>
      <c r="M16" s="1">
        <f>D15*'Pricing Component 1'!$B$22</f>
        <v>101077.32386391351</v>
      </c>
      <c r="N16" s="1">
        <f t="shared" si="10"/>
        <v>678.20019387888897</v>
      </c>
      <c r="O16" s="1">
        <f>N16*'Pricing Component 1'!$B$75</f>
        <v>203.46005816366667</v>
      </c>
      <c r="P16" s="4">
        <f t="shared" si="7"/>
        <v>20825.921074951504</v>
      </c>
      <c r="Q16" s="4">
        <f t="shared" si="4"/>
        <v>85.676301829830479</v>
      </c>
    </row>
    <row r="17" spans="1:17" x14ac:dyDescent="0.25">
      <c r="A17">
        <f>IF(nfi*12&gt;ROW()-14,'Life Accounting'!A16+1,0)</f>
        <v>9</v>
      </c>
      <c r="B17" s="22">
        <f t="shared" si="5"/>
        <v>305</v>
      </c>
      <c r="D17" s="4">
        <f t="shared" si="1"/>
        <v>101923.84279855245</v>
      </c>
      <c r="E17" s="4">
        <f t="shared" si="2"/>
        <v>765.2322008527824</v>
      </c>
      <c r="F17" s="4">
        <f t="shared" si="6"/>
        <v>185.1365921367003</v>
      </c>
      <c r="G17" s="4">
        <f t="shared" si="8"/>
        <v>20794.409553005669</v>
      </c>
      <c r="H17" s="4">
        <f t="shared" si="3"/>
        <v>85.473267920072658</v>
      </c>
      <c r="I17">
        <f t="shared" si="0"/>
        <v>1</v>
      </c>
      <c r="L17" s="1">
        <f t="shared" si="9"/>
        <v>31</v>
      </c>
      <c r="M17" s="1">
        <f>D16*'Pricing Component 1'!$B$22</f>
        <v>101841.94115689214</v>
      </c>
      <c r="N17" s="1">
        <f t="shared" si="10"/>
        <v>683.33055919247272</v>
      </c>
      <c r="O17" s="1">
        <f>N17*'Pricing Component 1'!$B$75</f>
        <v>204.99916775774182</v>
      </c>
      <c r="P17" s="4">
        <f t="shared" si="7"/>
        <v>20620.921907193762</v>
      </c>
      <c r="Q17" s="4">
        <f t="shared" si="4"/>
        <v>84.847380367843414</v>
      </c>
    </row>
    <row r="18" spans="1:17" x14ac:dyDescent="0.25">
      <c r="A18">
        <f>IF(nfi*12&gt;ROW()-14,'Life Accounting'!A17+1,0)</f>
        <v>10</v>
      </c>
      <c r="B18" s="22">
        <f t="shared" si="5"/>
        <v>335</v>
      </c>
      <c r="D18" s="4">
        <f t="shared" si="1"/>
        <v>102694.86373372811</v>
      </c>
      <c r="E18" s="4">
        <f t="shared" si="2"/>
        <v>771.02093517566482</v>
      </c>
      <c r="F18" s="4">
        <f t="shared" si="6"/>
        <v>186.53709063131262</v>
      </c>
      <c r="G18" s="4">
        <f t="shared" si="8"/>
        <v>20607.872462374358</v>
      </c>
      <c r="H18" s="4">
        <f t="shared" si="3"/>
        <v>84.718998526824919</v>
      </c>
      <c r="I18">
        <f t="shared" si="0"/>
        <v>1</v>
      </c>
      <c r="L18" s="1">
        <f t="shared" si="9"/>
        <v>30</v>
      </c>
      <c r="M18" s="1">
        <f>D17*'Pricing Component 1'!$B$22</f>
        <v>102612.34253261428</v>
      </c>
      <c r="N18" s="1">
        <f t="shared" si="10"/>
        <v>688.49973406182835</v>
      </c>
      <c r="O18" s="1">
        <f>N18*'Pricing Component 1'!$B$75</f>
        <v>206.54992021854849</v>
      </c>
      <c r="P18" s="4">
        <f t="shared" si="7"/>
        <v>20414.371986975213</v>
      </c>
      <c r="Q18" s="4">
        <f t="shared" si="4"/>
        <v>84.012188382853466</v>
      </c>
    </row>
    <row r="19" spans="1:17" x14ac:dyDescent="0.25">
      <c r="A19">
        <f>IF(nfi*12&gt;ROW()-14,'Life Accounting'!A18+1,0)</f>
        <v>11</v>
      </c>
      <c r="B19" s="22">
        <f t="shared" si="5"/>
        <v>366</v>
      </c>
      <c r="D19" s="4">
        <f t="shared" si="1"/>
        <v>103471.71719313125</v>
      </c>
      <c r="E19" s="4">
        <f t="shared" si="2"/>
        <v>776.85345940313243</v>
      </c>
      <c r="F19" s="4">
        <f t="shared" si="6"/>
        <v>187.94818344448063</v>
      </c>
      <c r="G19" s="4">
        <f t="shared" si="8"/>
        <v>20419.924278929877</v>
      </c>
      <c r="H19" s="4">
        <f t="shared" si="3"/>
        <v>83.959023329351325</v>
      </c>
      <c r="I19">
        <f t="shared" si="0"/>
        <v>1</v>
      </c>
      <c r="L19" s="1">
        <f t="shared" si="9"/>
        <v>31</v>
      </c>
      <c r="M19" s="1">
        <f>D18*'Pricing Component 1'!$B$22</f>
        <v>103388.57174579683</v>
      </c>
      <c r="N19" s="1">
        <f t="shared" si="10"/>
        <v>693.70801206871693</v>
      </c>
      <c r="O19" s="1">
        <f>N19*'Pricing Component 1'!$B$75</f>
        <v>208.11240362061508</v>
      </c>
      <c r="P19" s="4">
        <f t="shared" si="7"/>
        <v>20206.259583354597</v>
      </c>
      <c r="Q19" s="4">
        <f t="shared" si="4"/>
        <v>83.170678440380414</v>
      </c>
    </row>
    <row r="20" spans="1:17" x14ac:dyDescent="0.25">
      <c r="A20">
        <f>IF(nfi*12&gt;ROW()-14,'Life Accounting'!A19+1,0)</f>
        <v>12</v>
      </c>
      <c r="B20" s="22">
        <f t="shared" si="5"/>
        <v>397</v>
      </c>
      <c r="D20" s="4">
        <f t="shared" si="1"/>
        <v>104254.44729792292</v>
      </c>
      <c r="E20" s="4">
        <f t="shared" si="2"/>
        <v>782.73010479166328</v>
      </c>
      <c r="F20" s="4">
        <f t="shared" si="6"/>
        <v>189.36995071880077</v>
      </c>
      <c r="G20" s="4">
        <f t="shared" si="8"/>
        <v>20230.554328211078</v>
      </c>
      <c r="H20" s="4">
        <f t="shared" si="3"/>
        <v>83.193299165086671</v>
      </c>
      <c r="I20">
        <f t="shared" si="0"/>
        <v>1</v>
      </c>
      <c r="L20" s="1">
        <f t="shared" si="9"/>
        <v>31</v>
      </c>
      <c r="M20" s="1">
        <f>D19*'Pricing Component 1'!$B$22</f>
        <v>104170.67288214697</v>
      </c>
      <c r="N20" s="1">
        <f t="shared" si="10"/>
        <v>698.95568901572551</v>
      </c>
      <c r="O20" s="1">
        <f>N20*'Pricing Component 1'!$B$75</f>
        <v>209.68670670471764</v>
      </c>
      <c r="P20" s="4">
        <f t="shared" si="7"/>
        <v>19996.57287664988</v>
      </c>
      <c r="Q20" s="4">
        <f t="shared" si="4"/>
        <v>82.322802747117436</v>
      </c>
    </row>
    <row r="21" spans="1:17" x14ac:dyDescent="0.25">
      <c r="A21">
        <f>IF(nfi*12&gt;ROW()-14,'Life Accounting'!A20+1,0)</f>
        <v>13</v>
      </c>
      <c r="B21" s="22">
        <f t="shared" si="5"/>
        <v>425</v>
      </c>
      <c r="D21" s="4">
        <f t="shared" si="1"/>
        <v>105043.0985030265</v>
      </c>
      <c r="E21" s="4">
        <f t="shared" si="2"/>
        <v>788.65120510358349</v>
      </c>
      <c r="F21" s="4">
        <f t="shared" si="6"/>
        <v>190.8024732031223</v>
      </c>
      <c r="G21" s="4">
        <f t="shared" si="8"/>
        <v>20039.751855007955</v>
      </c>
      <c r="H21" s="4">
        <f t="shared" si="3"/>
        <v>82.421782544954894</v>
      </c>
      <c r="I21">
        <f t="shared" si="0"/>
        <v>1</v>
      </c>
      <c r="L21" s="1">
        <f t="shared" si="9"/>
        <v>28</v>
      </c>
      <c r="M21" s="1">
        <f>D20*'Pricing Component 1'!$B$22</f>
        <v>104958.69036086602</v>
      </c>
      <c r="N21" s="1">
        <f t="shared" si="10"/>
        <v>704.24306294310372</v>
      </c>
      <c r="O21" s="1">
        <f>N21*'Pricing Component 1'!$B$75</f>
        <v>211.27291888293112</v>
      </c>
      <c r="P21" s="4">
        <f t="shared" si="7"/>
        <v>19785.299957766947</v>
      </c>
      <c r="Q21" s="4">
        <f t="shared" si="4"/>
        <v>81.468513148216843</v>
      </c>
    </row>
    <row r="22" spans="1:17" x14ac:dyDescent="0.25">
      <c r="A22">
        <f>IF(nfi*12&gt;ROW()-14,'Life Accounting'!A21+1,0)</f>
        <v>14</v>
      </c>
      <c r="B22" s="22">
        <f t="shared" si="5"/>
        <v>456</v>
      </c>
      <c r="D22" s="4">
        <f t="shared" si="1"/>
        <v>105837.71559965253</v>
      </c>
      <c r="E22" s="4">
        <f t="shared" si="2"/>
        <v>794.61709662602334</v>
      </c>
      <c r="F22" s="4">
        <f t="shared" si="6"/>
        <v>192.24583225713346</v>
      </c>
      <c r="G22" s="4">
        <f t="shared" si="8"/>
        <v>19847.506022750822</v>
      </c>
      <c r="H22" s="4">
        <f t="shared" si="3"/>
        <v>81.644429650899113</v>
      </c>
      <c r="I22">
        <f t="shared" si="0"/>
        <v>1</v>
      </c>
      <c r="L22" s="1">
        <f t="shared" si="9"/>
        <v>31</v>
      </c>
      <c r="M22" s="1">
        <f>D21*'Pricing Component 1'!$B$22</f>
        <v>105752.66893717217</v>
      </c>
      <c r="N22" s="1">
        <f t="shared" si="10"/>
        <v>709.57043414567306</v>
      </c>
      <c r="O22" s="1">
        <f>N22*'Pricing Component 1'!$B$75</f>
        <v>212.87113024370191</v>
      </c>
      <c r="P22" s="4">
        <f t="shared" si="7"/>
        <v>19572.428827523247</v>
      </c>
      <c r="Q22" s="4">
        <f t="shared" si="4"/>
        <v>80.607761124555083</v>
      </c>
    </row>
    <row r="23" spans="1:17" x14ac:dyDescent="0.25">
      <c r="A23">
        <f>IF(nfi*12&gt;ROW()-14,'Life Accounting'!A22+1,0)</f>
        <v>15</v>
      </c>
      <c r="B23" s="22">
        <f t="shared" si="5"/>
        <v>486</v>
      </c>
      <c r="D23" s="4">
        <f t="shared" si="1"/>
        <v>106638.34371784254</v>
      </c>
      <c r="E23" s="4">
        <f t="shared" si="2"/>
        <v>800.62811819001672</v>
      </c>
      <c r="F23" s="4">
        <f t="shared" si="6"/>
        <v>193.70010985598222</v>
      </c>
      <c r="G23" s="4">
        <f t="shared" si="8"/>
        <v>19653.805912894841</v>
      </c>
      <c r="H23" s="4">
        <f t="shared" si="3"/>
        <v>80.861196333393067</v>
      </c>
      <c r="I23">
        <f t="shared" si="0"/>
        <v>1</v>
      </c>
      <c r="L23" s="1">
        <f t="shared" si="9"/>
        <v>30</v>
      </c>
      <c r="M23" s="1">
        <f>D22*'Pricing Component 1'!$B$22</f>
        <v>106552.65370484245</v>
      </c>
      <c r="N23" s="1">
        <f t="shared" si="10"/>
        <v>714.93810518992541</v>
      </c>
      <c r="O23" s="1">
        <f>N23*'Pricing Component 1'!$B$75</f>
        <v>214.48143155697761</v>
      </c>
      <c r="P23" s="4">
        <f t="shared" si="7"/>
        <v>19357.947395966268</v>
      </c>
      <c r="Q23" s="4">
        <f t="shared" si="4"/>
        <v>79.740497789977113</v>
      </c>
    </row>
    <row r="24" spans="1:17" x14ac:dyDescent="0.25">
      <c r="A24">
        <f>IF(nfi*12&gt;ROW()-14,'Life Accounting'!A23+1,0)</f>
        <v>16</v>
      </c>
      <c r="B24" s="22">
        <f t="shared" si="5"/>
        <v>517</v>
      </c>
      <c r="D24" s="4">
        <f t="shared" si="1"/>
        <v>107445.02832903228</v>
      </c>
      <c r="E24" s="4">
        <f t="shared" si="2"/>
        <v>806.6846111897446</v>
      </c>
      <c r="F24" s="4">
        <f t="shared" si="6"/>
        <v>195.1653885949321</v>
      </c>
      <c r="G24" s="4">
        <f t="shared" si="8"/>
        <v>19458.64052429991</v>
      </c>
      <c r="H24" s="4">
        <f t="shared" si="3"/>
        <v>80.072038108933512</v>
      </c>
      <c r="I24">
        <f t="shared" si="0"/>
        <v>1</v>
      </c>
      <c r="L24" s="1">
        <f t="shared" si="9"/>
        <v>31</v>
      </c>
      <c r="M24" s="1">
        <f>D23*'Pricing Component 1'!$B$22</f>
        <v>107358.69009877364</v>
      </c>
      <c r="N24" s="1">
        <f t="shared" si="10"/>
        <v>720.34638093110698</v>
      </c>
      <c r="O24" s="1">
        <f>N24*'Pricing Component 1'!$B$75</f>
        <v>216.10391427933209</v>
      </c>
      <c r="P24" s="4">
        <f t="shared" si="7"/>
        <v>19141.843481686938</v>
      </c>
      <c r="Q24" s="4">
        <f t="shared" si="4"/>
        <v>78.866673888519884</v>
      </c>
    </row>
    <row r="25" spans="1:17" x14ac:dyDescent="0.25">
      <c r="A25">
        <f>IF(nfi*12&gt;ROW()-14,'Life Accounting'!A24+1,0)</f>
        <v>17</v>
      </c>
      <c r="B25" s="22">
        <f t="shared" si="5"/>
        <v>547</v>
      </c>
      <c r="D25" s="4">
        <f t="shared" si="1"/>
        <v>108257.81524863422</v>
      </c>
      <c r="E25" s="4">
        <f t="shared" si="2"/>
        <v>812.78691960192475</v>
      </c>
      <c r="F25" s="4">
        <f t="shared" si="6"/>
        <v>196.64175169405303</v>
      </c>
      <c r="G25" s="4">
        <f t="shared" si="8"/>
        <v>19261.998772605857</v>
      </c>
      <c r="H25" s="4">
        <f t="shared" si="3"/>
        <v>79.276910157513925</v>
      </c>
      <c r="I25">
        <f t="shared" si="0"/>
        <v>1</v>
      </c>
      <c r="L25" s="1">
        <f t="shared" si="9"/>
        <v>30</v>
      </c>
      <c r="M25" s="1">
        <f>D24*'Pricing Component 1'!$B$22</f>
        <v>108170.82389756294</v>
      </c>
      <c r="N25" s="1">
        <f t="shared" si="10"/>
        <v>725.79556853065151</v>
      </c>
      <c r="O25" s="1">
        <f>N25*'Pricing Component 1'!$B$75</f>
        <v>217.73867055919544</v>
      </c>
      <c r="P25" s="4">
        <f t="shared" si="7"/>
        <v>18924.104811127741</v>
      </c>
      <c r="Q25" s="4">
        <f t="shared" ref="Q25:Q88" si="11">P24*((1+rfr)^(1/12)-1)</f>
        <v>77.986239791614963</v>
      </c>
    </row>
    <row r="26" spans="1:17" x14ac:dyDescent="0.25">
      <c r="A26">
        <f>IF(nfi*12&gt;ROW()-14,'Life Accounting'!A25+1,0)</f>
        <v>18</v>
      </c>
      <c r="B26" s="22">
        <f t="shared" si="5"/>
        <v>578</v>
      </c>
      <c r="D26" s="4">
        <f t="shared" si="1"/>
        <v>109076.75063863957</v>
      </c>
      <c r="E26" s="4">
        <f t="shared" si="2"/>
        <v>818.9353900053477</v>
      </c>
      <c r="F26" s="4">
        <f t="shared" si="6"/>
        <v>198.12928300294797</v>
      </c>
      <c r="G26" s="4">
        <f t="shared" si="8"/>
        <v>19063.869489602908</v>
      </c>
      <c r="H26" s="4">
        <f t="shared" si="3"/>
        <v>78.475767320078916</v>
      </c>
      <c r="I26">
        <f t="shared" si="0"/>
        <v>1</v>
      </c>
      <c r="L26" s="1">
        <f t="shared" si="9"/>
        <v>31</v>
      </c>
      <c r="M26" s="1">
        <f>D25*'Pricing Component 1'!$B$22</f>
        <v>108989.10122610777</v>
      </c>
      <c r="N26" s="1">
        <f t="shared" si="10"/>
        <v>731.28597747355525</v>
      </c>
      <c r="O26" s="1">
        <f>N26*'Pricing Component 1'!$B$75</f>
        <v>219.38579324206657</v>
      </c>
      <c r="P26" s="4">
        <f t="shared" si="7"/>
        <v>18704.719017885676</v>
      </c>
      <c r="Q26" s="4">
        <f t="shared" si="11"/>
        <v>77.099145495269767</v>
      </c>
    </row>
    <row r="27" spans="1:17" x14ac:dyDescent="0.25">
      <c r="A27">
        <f>IF(nfi*12&gt;ROW()-14,'Life Accounting'!A26+1,0)</f>
        <v>19</v>
      </c>
      <c r="B27" s="22">
        <f t="shared" si="5"/>
        <v>609</v>
      </c>
      <c r="D27" s="4">
        <f t="shared" si="1"/>
        <v>109901.88101024013</v>
      </c>
      <c r="E27" s="4">
        <f t="shared" si="2"/>
        <v>825.13037160056035</v>
      </c>
      <c r="F27" s="4">
        <f t="shared" si="6"/>
        <v>199.62806700551494</v>
      </c>
      <c r="G27" s="4">
        <f t="shared" si="8"/>
        <v>18864.241422597392</v>
      </c>
      <c r="H27" s="4">
        <f t="shared" si="3"/>
        <v>77.668564095959411</v>
      </c>
      <c r="I27">
        <f t="shared" si="0"/>
        <v>1</v>
      </c>
      <c r="L27" s="1">
        <f t="shared" si="9"/>
        <v>31</v>
      </c>
      <c r="M27" s="1">
        <f>D26*'Pricing Component 1'!$B$22</f>
        <v>109813.5685582255</v>
      </c>
      <c r="N27" s="1">
        <f t="shared" si="10"/>
        <v>736.81791958592657</v>
      </c>
      <c r="O27" s="1">
        <f>N27*'Pricing Component 1'!$B$75</f>
        <v>221.04537587577798</v>
      </c>
      <c r="P27" s="4">
        <f t="shared" si="7"/>
        <v>18483.673642009897</v>
      </c>
      <c r="Q27" s="4">
        <f t="shared" si="11"/>
        <v>76.205340617227705</v>
      </c>
    </row>
    <row r="28" spans="1:17" x14ac:dyDescent="0.25">
      <c r="A28">
        <f>IF(nfi*12&gt;ROW()-14,'Life Accounting'!A27+1,0)</f>
        <v>20</v>
      </c>
      <c r="B28" s="22">
        <f t="shared" si="5"/>
        <v>639</v>
      </c>
      <c r="D28" s="4">
        <f t="shared" si="1"/>
        <v>110733.25322646984</v>
      </c>
      <c r="E28" s="4">
        <f t="shared" si="2"/>
        <v>831.37221622969889</v>
      </c>
      <c r="F28" s="4">
        <f t="shared" si="6"/>
        <v>201.1381888247453</v>
      </c>
      <c r="G28" s="4">
        <f t="shared" si="8"/>
        <v>18663.103233772646</v>
      </c>
      <c r="H28" s="4">
        <f t="shared" si="3"/>
        <v>76.855254640288479</v>
      </c>
      <c r="I28">
        <f t="shared" si="0"/>
        <v>1</v>
      </c>
      <c r="L28" s="1">
        <f t="shared" si="9"/>
        <v>30</v>
      </c>
      <c r="M28" s="1">
        <f>D27*'Pricing Component 1'!$B$22</f>
        <v>110644.27271929293</v>
      </c>
      <c r="N28" s="1">
        <f t="shared" si="10"/>
        <v>742.39170905279752</v>
      </c>
      <c r="O28" s="1">
        <f>N28*'Pricing Component 1'!$B$75</f>
        <v>222.71751271583926</v>
      </c>
      <c r="P28" s="4">
        <f t="shared" si="7"/>
        <v>18260.956129294056</v>
      </c>
      <c r="Q28" s="4">
        <f t="shared" si="11"/>
        <v>75.304774394106701</v>
      </c>
    </row>
    <row r="29" spans="1:17" x14ac:dyDescent="0.25">
      <c r="A29">
        <f>IF(nfi*12&gt;ROW()-14,'Life Accounting'!A28+1,0)</f>
        <v>21</v>
      </c>
      <c r="B29" s="22">
        <f t="shared" si="5"/>
        <v>670</v>
      </c>
      <c r="D29" s="4">
        <f t="shared" si="1"/>
        <v>111570.9145048663</v>
      </c>
      <c r="E29" s="4">
        <f t="shared" si="2"/>
        <v>837.66127839647186</v>
      </c>
      <c r="F29" s="4">
        <f t="shared" si="6"/>
        <v>202.65973422755854</v>
      </c>
      <c r="G29" s="4">
        <f t="shared" si="8"/>
        <v>18460.443499545087</v>
      </c>
      <c r="H29" s="4">
        <f t="shared" si="3"/>
        <v>76.03579276139763</v>
      </c>
      <c r="I29">
        <f t="shared" si="0"/>
        <v>1</v>
      </c>
      <c r="L29" s="1">
        <f t="shared" si="9"/>
        <v>31</v>
      </c>
      <c r="M29" s="1">
        <f>D28*'Pricing Component 1'!$B$22</f>
        <v>111481.2608889057</v>
      </c>
      <c r="N29" s="1">
        <f t="shared" si="10"/>
        <v>748.00766243586258</v>
      </c>
      <c r="O29" s="1">
        <f>N29*'Pricing Component 1'!$B$75</f>
        <v>224.40229873075876</v>
      </c>
      <c r="P29" s="4">
        <f t="shared" si="7"/>
        <v>18036.553830563298</v>
      </c>
      <c r="Q29" s="4">
        <f t="shared" si="11"/>
        <v>74.397395678516091</v>
      </c>
    </row>
    <row r="30" spans="1:17" x14ac:dyDescent="0.25">
      <c r="A30">
        <f>IF(nfi*12&gt;ROW()-14,'Life Accounting'!A29+1,0)</f>
        <v>22</v>
      </c>
      <c r="B30" s="22">
        <f t="shared" si="5"/>
        <v>700</v>
      </c>
      <c r="D30" s="4">
        <f t="shared" si="1"/>
        <v>112414.9124201526</v>
      </c>
      <c r="E30" s="4">
        <f t="shared" si="2"/>
        <v>843.99791528629351</v>
      </c>
      <c r="F30" s="4">
        <f t="shared" si="6"/>
        <v>204.19278962967297</v>
      </c>
      <c r="G30" s="4">
        <f t="shared" si="8"/>
        <v>18256.250709915414</v>
      </c>
      <c r="H30" s="4">
        <f t="shared" si="3"/>
        <v>75.210131918193284</v>
      </c>
      <c r="I30">
        <f t="shared" si="0"/>
        <v>1</v>
      </c>
      <c r="L30" s="1">
        <f t="shared" si="9"/>
        <v>30</v>
      </c>
      <c r="M30" s="1">
        <f>D29*'Pricing Component 1'!$B$22</f>
        <v>112324.58060355786</v>
      </c>
      <c r="N30" s="1">
        <f t="shared" si="10"/>
        <v>753.66609869155218</v>
      </c>
      <c r="O30" s="1">
        <f>N30*'Pricing Component 1'!$B$75</f>
        <v>226.09982960746564</v>
      </c>
      <c r="P30" s="4">
        <f t="shared" si="7"/>
        <v>17810.454000955833</v>
      </c>
      <c r="Q30" s="4">
        <f t="shared" si="11"/>
        <v>73.483152936151754</v>
      </c>
    </row>
    <row r="31" spans="1:17" x14ac:dyDescent="0.25">
      <c r="A31">
        <f>IF(nfi*12&gt;ROW()-14,'Life Accounting'!A30+1,0)</f>
        <v>23</v>
      </c>
      <c r="B31" s="22">
        <f t="shared" si="5"/>
        <v>731</v>
      </c>
      <c r="D31" s="4">
        <f t="shared" si="1"/>
        <v>113265.29490693918</v>
      </c>
      <c r="E31" s="4">
        <f t="shared" si="2"/>
        <v>850.38248678657044</v>
      </c>
      <c r="F31" s="4">
        <f t="shared" si="6"/>
        <v>205.73744210051402</v>
      </c>
      <c r="G31" s="4">
        <f t="shared" si="8"/>
        <v>18050.513267814898</v>
      </c>
      <c r="H31" s="4">
        <f t="shared" si="3"/>
        <v>74.378225217513531</v>
      </c>
      <c r="I31">
        <f t="shared" si="0"/>
        <v>1</v>
      </c>
      <c r="L31" s="1">
        <f t="shared" si="9"/>
        <v>31</v>
      </c>
      <c r="M31" s="1">
        <f>D30*'Pricing Component 1'!$B$22</f>
        <v>113174.27975934165</v>
      </c>
      <c r="N31" s="1">
        <f t="shared" si="10"/>
        <v>759.36733918904793</v>
      </c>
      <c r="O31" s="1">
        <f>N31*'Pricing Component 1'!$B$75</f>
        <v>227.81020175671438</v>
      </c>
      <c r="P31" s="4">
        <f t="shared" si="7"/>
        <v>17582.643799199119</v>
      </c>
      <c r="Q31" s="4">
        <f t="shared" si="11"/>
        <v>72.561994242869133</v>
      </c>
    </row>
    <row r="32" spans="1:17" x14ac:dyDescent="0.25">
      <c r="A32">
        <f>IF(nfi*12&gt;ROW()-14,'Life Accounting'!A31+1,0)</f>
        <v>24</v>
      </c>
      <c r="B32" s="22">
        <f t="shared" si="5"/>
        <v>762</v>
      </c>
      <c r="D32" s="4">
        <f t="shared" si="1"/>
        <v>114122.11026244632</v>
      </c>
      <c r="E32" s="4">
        <f t="shared" si="2"/>
        <v>856.81535550714136</v>
      </c>
      <c r="F32" s="4">
        <f t="shared" si="6"/>
        <v>207.29377936815911</v>
      </c>
      <c r="G32" s="4">
        <f t="shared" si="8"/>
        <v>17843.219488446739</v>
      </c>
      <c r="H32" s="4">
        <f t="shared" si="3"/>
        <v>73.540025411464839</v>
      </c>
      <c r="I32">
        <f t="shared" si="0"/>
        <v>1</v>
      </c>
      <c r="L32" s="1">
        <f t="shared" si="9"/>
        <v>31</v>
      </c>
      <c r="M32" s="1">
        <f>D31*'Pricing Component 1'!$B$22</f>
        <v>114030.40661466778</v>
      </c>
      <c r="N32" s="1">
        <f t="shared" si="10"/>
        <v>765.11170772860351</v>
      </c>
      <c r="O32" s="1">
        <f>N32*'Pricing Component 1'!$B$75</f>
        <v>229.53351231858105</v>
      </c>
      <c r="P32" s="4">
        <f t="shared" si="7"/>
        <v>17353.110286880539</v>
      </c>
      <c r="Q32" s="4">
        <f t="shared" si="11"/>
        <v>71.633867281734368</v>
      </c>
    </row>
    <row r="33" spans="1:17" x14ac:dyDescent="0.25">
      <c r="A33">
        <f>IF(nfi*12&gt;ROW()-14,'Life Accounting'!A32+1,0)</f>
        <v>25</v>
      </c>
      <c r="B33" s="22">
        <f t="shared" si="5"/>
        <v>790</v>
      </c>
      <c r="D33" s="4">
        <f t="shared" si="1"/>
        <v>114985.4071492472</v>
      </c>
      <c r="E33" s="4">
        <f t="shared" si="2"/>
        <v>863.29688680087099</v>
      </c>
      <c r="F33" s="4">
        <f t="shared" si="6"/>
        <v>208.86188982432031</v>
      </c>
      <c r="G33" s="4">
        <f t="shared" si="8"/>
        <v>17634.357598622417</v>
      </c>
      <c r="H33" s="4">
        <f t="shared" si="3"/>
        <v>72.695484894738669</v>
      </c>
      <c r="I33">
        <f t="shared" si="0"/>
        <v>1</v>
      </c>
      <c r="L33" s="1">
        <f t="shared" si="9"/>
        <v>28</v>
      </c>
      <c r="M33" s="1">
        <f>D32*'Pricing Component 1'!$B$22</f>
        <v>114893.00979300626</v>
      </c>
      <c r="N33" s="1">
        <f t="shared" si="10"/>
        <v>770.89953055993828</v>
      </c>
      <c r="O33" s="1">
        <f>N33*'Pricing Component 1'!$B$75</f>
        <v>231.26985916798148</v>
      </c>
      <c r="P33" s="4">
        <f t="shared" si="7"/>
        <v>17121.840427712559</v>
      </c>
      <c r="Q33" s="4">
        <f t="shared" si="11"/>
        <v>70.698719340052904</v>
      </c>
    </row>
    <row r="34" spans="1:17" x14ac:dyDescent="0.25">
      <c r="A34">
        <f>IF(nfi*12&gt;ROW()-14,'Life Accounting'!A33+1,0)</f>
        <v>26</v>
      </c>
      <c r="B34" s="22">
        <f t="shared" si="5"/>
        <v>821</v>
      </c>
      <c r="D34" s="4">
        <f t="shared" si="1"/>
        <v>115855.2345980316</v>
      </c>
      <c r="E34" s="4">
        <f t="shared" si="2"/>
        <v>869.8274487844003</v>
      </c>
      <c r="F34" s="4">
        <f t="shared" si="6"/>
        <v>210.44186252936424</v>
      </c>
      <c r="G34" s="4">
        <f t="shared" si="8"/>
        <v>17423.915736093051</v>
      </c>
      <c r="H34" s="4">
        <f t="shared" si="3"/>
        <v>71.844555701907652</v>
      </c>
      <c r="I34">
        <f t="shared" si="0"/>
        <v>1</v>
      </c>
      <c r="L34" s="1">
        <f t="shared" si="9"/>
        <v>31</v>
      </c>
      <c r="M34" s="1">
        <f>D33*'Pricing Component 1'!$B$22</f>
        <v>115762.13828564792</v>
      </c>
      <c r="N34" s="1">
        <f t="shared" si="10"/>
        <v>776.73113640071824</v>
      </c>
      <c r="O34" s="1">
        <f>N34*'Pricing Component 1'!$B$75</f>
        <v>233.01934092021546</v>
      </c>
      <c r="P34" s="4">
        <f t="shared" si="7"/>
        <v>16888.821086792344</v>
      </c>
      <c r="Q34" s="4">
        <f t="shared" si="11"/>
        <v>69.756497306375636</v>
      </c>
    </row>
    <row r="35" spans="1:17" x14ac:dyDescent="0.25">
      <c r="A35">
        <f>IF(nfi*12&gt;ROW()-14,'Life Accounting'!A34+1,0)</f>
        <v>27</v>
      </c>
      <c r="B35" s="22">
        <f t="shared" si="5"/>
        <v>851</v>
      </c>
      <c r="D35" s="4">
        <f t="shared" si="1"/>
        <v>116731.64201039066</v>
      </c>
      <c r="E35" s="4">
        <f t="shared" si="2"/>
        <v>876.40741235905409</v>
      </c>
      <c r="F35" s="4">
        <f t="shared" si="6"/>
        <v>212.03378721737067</v>
      </c>
      <c r="G35" s="4">
        <f t="shared" si="8"/>
        <v>17211.881948875682</v>
      </c>
      <c r="H35" s="4">
        <f t="shared" si="3"/>
        <v>70.987189504701504</v>
      </c>
      <c r="I35">
        <f t="shared" si="0"/>
        <v>1</v>
      </c>
      <c r="L35" s="1">
        <f t="shared" si="9"/>
        <v>30</v>
      </c>
      <c r="M35" s="1">
        <f>D34*'Pricing Component 1'!$B$22</f>
        <v>116637.84145448687</v>
      </c>
      <c r="N35" s="1">
        <f t="shared" si="10"/>
        <v>782.60685645526974</v>
      </c>
      <c r="O35" s="1">
        <f>N35*'Pricing Component 1'!$B$75</f>
        <v>234.78205693658091</v>
      </c>
      <c r="P35" s="4">
        <f t="shared" si="7"/>
        <v>16654.039029855765</v>
      </c>
      <c r="Q35" s="4">
        <f t="shared" si="11"/>
        <v>68.807147667482525</v>
      </c>
    </row>
    <row r="36" spans="1:17" x14ac:dyDescent="0.25">
      <c r="A36">
        <f>IF(nfi*12&gt;ROW()-14,'Life Accounting'!A35+1,0)</f>
        <v>28</v>
      </c>
      <c r="B36" s="22">
        <f t="shared" si="5"/>
        <v>882</v>
      </c>
      <c r="D36" s="4">
        <f t="shared" si="1"/>
        <v>117614.67916162257</v>
      </c>
      <c r="E36" s="4">
        <f t="shared" si="2"/>
        <v>883.03715123190557</v>
      </c>
      <c r="F36" s="4">
        <f t="shared" si="6"/>
        <v>213.63775430122848</v>
      </c>
      <c r="G36" s="4">
        <f t="shared" si="8"/>
        <v>16998.244194574454</v>
      </c>
      <c r="H36" s="4">
        <f t="shared" si="3"/>
        <v>70.123337609262194</v>
      </c>
      <c r="I36">
        <f t="shared" si="0"/>
        <v>1</v>
      </c>
      <c r="L36" s="1">
        <f t="shared" si="9"/>
        <v>31</v>
      </c>
      <c r="M36" s="1">
        <f>D35*'Pricing Component 1'!$B$22</f>
        <v>117520.16903482401</v>
      </c>
      <c r="N36" s="1">
        <f t="shared" si="10"/>
        <v>788.52702443335147</v>
      </c>
      <c r="O36" s="1">
        <f>N36*'Pricing Component 1'!$B$75</f>
        <v>236.55810733000544</v>
      </c>
      <c r="P36" s="4">
        <f t="shared" si="7"/>
        <v>16417.48092252576</v>
      </c>
      <c r="Q36" s="4">
        <f t="shared" si="11"/>
        <v>67.850616505343325</v>
      </c>
    </row>
    <row r="37" spans="1:17" x14ac:dyDescent="0.25">
      <c r="A37">
        <f>IF(nfi*12&gt;ROW()-14,'Life Accounting'!A36+1,0)</f>
        <v>29</v>
      </c>
      <c r="B37" s="22">
        <f t="shared" si="5"/>
        <v>912</v>
      </c>
      <c r="D37" s="4">
        <f t="shared" si="1"/>
        <v>118504.39620355956</v>
      </c>
      <c r="E37" s="4">
        <f t="shared" si="2"/>
        <v>889.71704193700123</v>
      </c>
      <c r="F37" s="4">
        <f t="shared" si="6"/>
        <v>215.25385487777092</v>
      </c>
      <c r="G37" s="4">
        <f t="shared" si="8"/>
        <v>16782.990339696684</v>
      </c>
      <c r="H37" s="4">
        <f t="shared" si="3"/>
        <v>69.252950953378331</v>
      </c>
      <c r="I37">
        <f t="shared" si="0"/>
        <v>1</v>
      </c>
      <c r="L37" s="1">
        <f t="shared" si="9"/>
        <v>30</v>
      </c>
      <c r="M37" s="1">
        <f>D36*'Pricing Component 1'!$B$22</f>
        <v>118409.17113819171</v>
      </c>
      <c r="N37" s="1">
        <f t="shared" si="10"/>
        <v>794.49197656914475</v>
      </c>
      <c r="O37" s="1">
        <f>N37*'Pricing Component 1'!$B$75</f>
        <v>238.34759297074342</v>
      </c>
      <c r="P37" s="4">
        <f t="shared" si="7"/>
        <v>16179.133329555016</v>
      </c>
      <c r="Q37" s="4">
        <f t="shared" si="11"/>
        <v>66.886849494055312</v>
      </c>
    </row>
    <row r="38" spans="1:17" x14ac:dyDescent="0.25">
      <c r="A38">
        <f>IF(nfi*12&gt;ROW()-14,'Life Accounting'!A37+1,0)</f>
        <v>30</v>
      </c>
      <c r="B38" s="22">
        <f t="shared" si="5"/>
        <v>943</v>
      </c>
      <c r="D38" s="4">
        <f t="shared" si="1"/>
        <v>119400.84366741631</v>
      </c>
      <c r="E38" s="4">
        <f t="shared" si="2"/>
        <v>896.44746385674591</v>
      </c>
      <c r="F38" s="4">
        <f t="shared" si="6"/>
        <v>216.88218073294937</v>
      </c>
      <c r="G38" s="4">
        <f t="shared" si="8"/>
        <v>16566.108158963736</v>
      </c>
      <c r="H38" s="4">
        <f t="shared" si="3"/>
        <v>68.375980103698822</v>
      </c>
      <c r="I38">
        <f t="shared" si="0"/>
        <v>1</v>
      </c>
      <c r="L38" s="1">
        <f t="shared" si="9"/>
        <v>31</v>
      </c>
      <c r="M38" s="1">
        <f>D37*'Pricing Component 1'!$B$22</f>
        <v>119304.89825519991</v>
      </c>
      <c r="N38" s="1">
        <f t="shared" si="10"/>
        <v>800.5020516403456</v>
      </c>
      <c r="O38" s="1">
        <f>N38*'Pricing Component 1'!$B$75</f>
        <v>240.15061549210367</v>
      </c>
      <c r="P38" s="4">
        <f t="shared" si="7"/>
        <v>15938.982714062911</v>
      </c>
      <c r="Q38" s="4">
        <f t="shared" si="11"/>
        <v>65.915791896757867</v>
      </c>
    </row>
    <row r="39" spans="1:17" x14ac:dyDescent="0.25">
      <c r="A39">
        <f>IF(nfi*12&gt;ROW()-14,'Life Accounting'!A38+1,0)</f>
        <v>31</v>
      </c>
      <c r="B39" s="22">
        <f t="shared" si="5"/>
        <v>974</v>
      </c>
      <c r="D39" s="4">
        <f t="shared" si="1"/>
        <v>120304.07246665975</v>
      </c>
      <c r="E39" s="4">
        <f t="shared" si="2"/>
        <v>903.22879924344988</v>
      </c>
      <c r="F39" s="4">
        <f t="shared" si="6"/>
        <v>218.5228243470462</v>
      </c>
      <c r="G39" s="4">
        <f t="shared" si="8"/>
        <v>16347.58533461669</v>
      </c>
      <c r="H39" s="4">
        <f t="shared" si="3"/>
        <v>67.4923752529252</v>
      </c>
      <c r="I39">
        <f t="shared" si="0"/>
        <v>1</v>
      </c>
      <c r="L39" s="1">
        <f t="shared" si="9"/>
        <v>31</v>
      </c>
      <c r="M39" s="1">
        <f>D38*'Pricing Component 1'!$B$22</f>
        <v>120207.40125840367</v>
      </c>
      <c r="N39" s="1">
        <f t="shared" si="10"/>
        <v>806.55759098735871</v>
      </c>
      <c r="O39" s="1">
        <f>N39*'Pricing Component 1'!$B$75</f>
        <v>241.96727729620761</v>
      </c>
      <c r="P39" s="4">
        <f t="shared" si="7"/>
        <v>15697.015436766704</v>
      </c>
      <c r="Q39" s="4">
        <f t="shared" si="11"/>
        <v>64.937388562523694</v>
      </c>
    </row>
    <row r="40" spans="1:17" x14ac:dyDescent="0.25">
      <c r="A40">
        <f>IF(nfi*12&gt;ROW()-14,'Life Accounting'!A39+1,0)</f>
        <v>32</v>
      </c>
      <c r="B40" s="22">
        <f t="shared" si="5"/>
        <v>1004</v>
      </c>
      <c r="D40" s="4">
        <f t="shared" si="1"/>
        <v>121214.13389990079</v>
      </c>
      <c r="E40" s="4">
        <f t="shared" si="2"/>
        <v>910.06143324103857</v>
      </c>
      <c r="F40" s="4">
        <f t="shared" si="6"/>
        <v>220.17587889992731</v>
      </c>
      <c r="G40" s="4">
        <f t="shared" si="8"/>
        <v>16127.409455716763</v>
      </c>
      <c r="H40" s="4">
        <f t="shared" si="3"/>
        <v>66.602086216982883</v>
      </c>
      <c r="I40">
        <f t="shared" ref="I40:I71" si="12">IF(A40&gt;0,1,0)</f>
        <v>1</v>
      </c>
      <c r="L40" s="1">
        <f t="shared" si="9"/>
        <v>30</v>
      </c>
      <c r="M40" s="1">
        <f>D39*'Pricing Component 1'!$B$22</f>
        <v>121116.73140519251</v>
      </c>
      <c r="N40" s="1">
        <f t="shared" si="10"/>
        <v>812.65893853275338</v>
      </c>
      <c r="O40" s="1">
        <f>N40*'Pricing Component 1'!$B$75</f>
        <v>243.797681559826</v>
      </c>
      <c r="P40" s="4">
        <f t="shared" si="7"/>
        <v>15453.217755206877</v>
      </c>
      <c r="Q40" s="4">
        <f t="shared" si="11"/>
        <v>63.951583923226572</v>
      </c>
    </row>
    <row r="41" spans="1:17" x14ac:dyDescent="0.25">
      <c r="A41">
        <f>IF(nfi*12&gt;ROW()-14,'Life Accounting'!A40+1,0)</f>
        <v>33</v>
      </c>
      <c r="B41" s="22">
        <f t="shared" si="5"/>
        <v>1035</v>
      </c>
      <c r="D41" s="4">
        <f t="shared" si="1"/>
        <v>122131.07965380771</v>
      </c>
      <c r="E41" s="4">
        <f t="shared" ref="E41:E72" si="13">(IF(nfi*12&gt;=A41,D40*(ced-1),0))*I41</f>
        <v>916.94575390692671</v>
      </c>
      <c r="F41" s="4">
        <f t="shared" si="6"/>
        <v>221.84143827633415</v>
      </c>
      <c r="G41" s="4">
        <f t="shared" si="8"/>
        <v>15905.568017440428</v>
      </c>
      <c r="H41" s="4">
        <f t="shared" ref="H41:H92" si="14">G40*((1+rfr)^(1/12)-1)</f>
        <v>65.705062432171005</v>
      </c>
      <c r="I41">
        <f t="shared" si="12"/>
        <v>1</v>
      </c>
      <c r="L41" s="1">
        <f t="shared" si="9"/>
        <v>31</v>
      </c>
      <c r="M41" s="1">
        <f>D40*'Pricing Component 1'!$B$22</f>
        <v>122032.94034070153</v>
      </c>
      <c r="N41" s="1">
        <f t="shared" si="10"/>
        <v>818.80644080074853</v>
      </c>
      <c r="O41" s="1">
        <f>N41*'Pricing Component 1'!$B$75</f>
        <v>245.64193224022455</v>
      </c>
      <c r="P41" s="4">
        <f t="shared" si="7"/>
        <v>15207.575822966652</v>
      </c>
      <c r="Q41" s="4">
        <f t="shared" si="11"/>
        <v>62.958321990385357</v>
      </c>
    </row>
    <row r="42" spans="1:17" x14ac:dyDescent="0.25">
      <c r="A42">
        <f>IF(nfi*12&gt;ROW()-14,'Life Accounting'!A41+1,0)</f>
        <v>34</v>
      </c>
      <c r="B42" s="22">
        <f t="shared" si="5"/>
        <v>1065</v>
      </c>
      <c r="D42" s="4">
        <f t="shared" si="1"/>
        <v>123054.96180604177</v>
      </c>
      <c r="E42" s="4">
        <f t="shared" si="13"/>
        <v>923.88215223405803</v>
      </c>
      <c r="F42" s="4">
        <f t="shared" si="6"/>
        <v>223.51959707121588</v>
      </c>
      <c r="G42" s="4">
        <f t="shared" si="8"/>
        <v>15682.048420369212</v>
      </c>
      <c r="H42" s="4">
        <f t="shared" si="14"/>
        <v>64.801252952290639</v>
      </c>
      <c r="I42">
        <f t="shared" si="12"/>
        <v>1</v>
      </c>
      <c r="L42" s="1">
        <f t="shared" si="9"/>
        <v>30</v>
      </c>
      <c r="M42" s="1">
        <f>D41*'Pricing Component 1'!$B$22</f>
        <v>122956.0801007446</v>
      </c>
      <c r="N42" s="1">
        <f t="shared" si="10"/>
        <v>825.00044693688687</v>
      </c>
      <c r="O42" s="1">
        <f>N42*'Pricing Component 1'!$B$75</f>
        <v>247.50013408106605</v>
      </c>
      <c r="P42" s="4">
        <f t="shared" si="7"/>
        <v>14960.075688885585</v>
      </c>
      <c r="Q42" s="4">
        <f t="shared" si="11"/>
        <v>61.957546351984121</v>
      </c>
    </row>
    <row r="43" spans="1:17" x14ac:dyDescent="0.25">
      <c r="A43">
        <f>IF(nfi*12&gt;ROW()-14,'Life Accounting'!A42+1,0)</f>
        <v>35</v>
      </c>
      <c r="B43" s="22">
        <f t="shared" si="5"/>
        <v>1096</v>
      </c>
      <c r="D43" s="4">
        <f t="shared" si="1"/>
        <v>123985.83282821489</v>
      </c>
      <c r="E43" s="4">
        <f t="shared" si="13"/>
        <v>930.87102217311144</v>
      </c>
      <c r="F43" s="4">
        <f t="shared" si="6"/>
        <v>225.21045059510189</v>
      </c>
      <c r="G43" s="4">
        <f t="shared" si="8"/>
        <v>15456.837969774111</v>
      </c>
      <c r="H43" s="4">
        <f t="shared" si="14"/>
        <v>63.890606445751303</v>
      </c>
      <c r="I43">
        <f t="shared" si="12"/>
        <v>1</v>
      </c>
      <c r="L43" s="1">
        <f t="shared" si="9"/>
        <v>31</v>
      </c>
      <c r="M43" s="1">
        <f>D42*'Pricing Component 1'!$B$22</f>
        <v>123886.2031147697</v>
      </c>
      <c r="N43" s="1">
        <f t="shared" si="10"/>
        <v>831.24130872792739</v>
      </c>
      <c r="O43" s="1">
        <f>N43*'Pricing Component 1'!$B$75</f>
        <v>249.3723926183782</v>
      </c>
      <c r="P43" s="4">
        <f t="shared" si="7"/>
        <v>14710.703296267207</v>
      </c>
      <c r="Q43" s="4">
        <f t="shared" si="11"/>
        <v>60.949200169268288</v>
      </c>
    </row>
    <row r="44" spans="1:17" x14ac:dyDescent="0.25">
      <c r="A44">
        <f>IF(nfi*12&gt;ROW()-14,'Life Accounting'!A43+1,0)</f>
        <v>36</v>
      </c>
      <c r="B44" s="22">
        <f t="shared" si="5"/>
        <v>1127</v>
      </c>
      <c r="D44" s="4">
        <f t="shared" si="1"/>
        <v>124923.74558886976</v>
      </c>
      <c r="E44" s="4">
        <f t="shared" si="13"/>
        <v>937.91276065487557</v>
      </c>
      <c r="F44" s="4">
        <f t="shared" si="6"/>
        <v>226.91409487951495</v>
      </c>
      <c r="G44" s="4">
        <f t="shared" si="8"/>
        <v>15229.923874894595</v>
      </c>
      <c r="H44" s="4">
        <f t="shared" si="14"/>
        <v>62.973071192655638</v>
      </c>
      <c r="I44" s="4">
        <f t="shared" si="12"/>
        <v>1</v>
      </c>
      <c r="L44" s="1">
        <f t="shared" si="9"/>
        <v>31</v>
      </c>
      <c r="M44" s="1">
        <f>D43*'Pricing Component 1'!$B$22</f>
        <v>124823.36220883664</v>
      </c>
      <c r="N44" s="1">
        <f t="shared" si="10"/>
        <v>837.52938062175235</v>
      </c>
      <c r="O44" s="1">
        <f>N44*'Pricing Component 1'!$B$75</f>
        <v>251.25881418652568</v>
      </c>
      <c r="P44" s="4">
        <f t="shared" si="7"/>
        <v>14459.444482080682</v>
      </c>
      <c r="Q44" s="4">
        <f t="shared" si="11"/>
        <v>59.933226173516459</v>
      </c>
    </row>
    <row r="45" spans="1:17" x14ac:dyDescent="0.25">
      <c r="A45">
        <f>IF(nfi*12&gt;ROW()-14,'Life Accounting'!A44+1,0)</f>
        <v>37</v>
      </c>
      <c r="B45" s="22">
        <f t="shared" si="5"/>
        <v>1155</v>
      </c>
      <c r="D45" s="4">
        <f t="shared" si="1"/>
        <v>125868.75335648256</v>
      </c>
      <c r="E45" s="4">
        <f t="shared" si="13"/>
        <v>945.00776761279201</v>
      </c>
      <c r="F45" s="4">
        <f t="shared" si="6"/>
        <v>228.63062668242523</v>
      </c>
      <c r="G45" s="4">
        <f t="shared" si="8"/>
        <v>15001.293248212171</v>
      </c>
      <c r="H45" s="4">
        <f t="shared" si="14"/>
        <v>62.048595081861961</v>
      </c>
      <c r="I45" s="4">
        <f t="shared" si="12"/>
        <v>1</v>
      </c>
      <c r="L45" s="1">
        <f t="shared" si="9"/>
        <v>28</v>
      </c>
      <c r="M45" s="1">
        <f>D44*'Pricing Component 1'!$B$22</f>
        <v>125767.61060861729</v>
      </c>
      <c r="N45" s="1">
        <f t="shared" si="10"/>
        <v>843.86501974753628</v>
      </c>
      <c r="O45" s="1">
        <f>N45*'Pricing Component 1'!$B$75</f>
        <v>253.15950592426088</v>
      </c>
      <c r="P45" s="4">
        <f t="shared" si="7"/>
        <v>14206.284976156421</v>
      </c>
      <c r="Q45" s="4">
        <f t="shared" si="11"/>
        <v>58.909566662787853</v>
      </c>
    </row>
    <row r="46" spans="1:17" x14ac:dyDescent="0.25">
      <c r="A46">
        <f>IF(nfi*12&gt;ROW()-14,'Life Accounting'!A45+1,0)</f>
        <v>38</v>
      </c>
      <c r="B46" s="22">
        <f t="shared" si="5"/>
        <v>1186</v>
      </c>
      <c r="D46" s="4">
        <f t="shared" ref="D46:D92" si="15">(D45+E46)-(C46*1000)*I46</f>
        <v>126820.90980248823</v>
      </c>
      <c r="E46" s="4">
        <f t="shared" si="13"/>
        <v>952.15644600566975</v>
      </c>
      <c r="F46" s="4">
        <f t="shared" si="6"/>
        <v>230.36014349374571</v>
      </c>
      <c r="G46" s="4">
        <f t="shared" si="8"/>
        <v>14770.933104718424</v>
      </c>
      <c r="H46" s="4">
        <f t="shared" si="14"/>
        <v>61.117125608024665</v>
      </c>
      <c r="I46" s="4">
        <f t="shared" si="12"/>
        <v>1</v>
      </c>
      <c r="L46" s="1">
        <f t="shared" si="9"/>
        <v>31</v>
      </c>
      <c r="M46" s="1">
        <f>D45*'Pricing Component 1'!$B$22</f>
        <v>126719.00194241856</v>
      </c>
      <c r="N46" s="1">
        <f t="shared" si="10"/>
        <v>850.2485859360022</v>
      </c>
      <c r="O46" s="1">
        <f>N46*'Pricing Component 1'!$B$75</f>
        <v>255.07457578080064</v>
      </c>
      <c r="P46" s="4">
        <f t="shared" si="7"/>
        <v>13951.210400375621</v>
      </c>
      <c r="Q46" s="4">
        <f t="shared" si="11"/>
        <v>57.878163498645158</v>
      </c>
    </row>
    <row r="47" spans="1:17" x14ac:dyDescent="0.25">
      <c r="A47">
        <f>IF(nfi*12&gt;ROW()-14,'Life Accounting'!A46+1,0)</f>
        <v>39</v>
      </c>
      <c r="B47" s="22">
        <f t="shared" si="5"/>
        <v>1216</v>
      </c>
      <c r="D47" s="4">
        <f t="shared" si="15"/>
        <v>127780.2690043288</v>
      </c>
      <c r="E47" s="4">
        <f t="shared" si="13"/>
        <v>959.35920184057102</v>
      </c>
      <c r="F47" s="4">
        <f t="shared" si="6"/>
        <v>232.10274354086903</v>
      </c>
      <c r="G47" s="4">
        <f t="shared" si="8"/>
        <v>14538.830361177555</v>
      </c>
      <c r="H47" s="4">
        <f t="shared" si="14"/>
        <v>60.178609868612149</v>
      </c>
      <c r="I47" s="4">
        <f t="shared" si="12"/>
        <v>1</v>
      </c>
      <c r="L47" s="1">
        <f t="shared" si="9"/>
        <v>30</v>
      </c>
      <c r="M47" s="1">
        <f>D46*'Pricing Component 1'!$B$22</f>
        <v>127677.59024422814</v>
      </c>
      <c r="N47" s="1">
        <f t="shared" si="10"/>
        <v>856.68044173991075</v>
      </c>
      <c r="O47" s="1">
        <f>N47*'Pricing Component 1'!$B$75</f>
        <v>257.00413252197319</v>
      </c>
      <c r="P47" s="4">
        <f t="shared" si="7"/>
        <v>13694.206267853648</v>
      </c>
      <c r="Q47" s="4">
        <f t="shared" si="11"/>
        <v>56.838958102852587</v>
      </c>
    </row>
    <row r="48" spans="1:17" x14ac:dyDescent="0.25">
      <c r="A48">
        <f>IF(nfi*12&gt;ROW()-14,'Life Accounting'!A47+1,0)</f>
        <v>40</v>
      </c>
      <c r="B48" s="22">
        <f t="shared" si="5"/>
        <v>1247</v>
      </c>
      <c r="D48" s="4">
        <f t="shared" si="15"/>
        <v>128746.88544852467</v>
      </c>
      <c r="E48" s="4">
        <f t="shared" si="13"/>
        <v>966.61644419587014</v>
      </c>
      <c r="F48" s="4">
        <f t="shared" si="6"/>
        <v>233.85852579424639</v>
      </c>
      <c r="G48" s="4">
        <f t="shared" si="8"/>
        <v>14304.971835383309</v>
      </c>
      <c r="H48" s="4">
        <f t="shared" si="14"/>
        <v>59.232994560902263</v>
      </c>
      <c r="I48" s="4">
        <f t="shared" si="12"/>
        <v>1</v>
      </c>
      <c r="L48" s="1">
        <f t="shared" si="9"/>
        <v>31</v>
      </c>
      <c r="M48" s="1">
        <f>D47*'Pricing Component 1'!$B$22</f>
        <v>128643.42995678338</v>
      </c>
      <c r="N48" s="1">
        <f t="shared" si="10"/>
        <v>863.16095245457836</v>
      </c>
      <c r="O48" s="1">
        <f>N48*'Pricing Component 1'!$B$75</f>
        <v>258.94828573637352</v>
      </c>
      <c r="P48" s="4">
        <f t="shared" si="7"/>
        <v>13435.257982117275</v>
      </c>
      <c r="Q48" s="4">
        <f t="shared" si="11"/>
        <v>55.791891454048901</v>
      </c>
    </row>
    <row r="49" spans="1:17" x14ac:dyDescent="0.25">
      <c r="A49">
        <f>IF(nfi*12&gt;ROW()-14,'Life Accounting'!A48+1,0)</f>
        <v>41</v>
      </c>
      <c r="B49" s="22">
        <f t="shared" si="5"/>
        <v>1277</v>
      </c>
      <c r="D49" s="4">
        <f t="shared" si="15"/>
        <v>129720.81403376916</v>
      </c>
      <c r="E49" s="4">
        <f t="shared" si="13"/>
        <v>973.92858524448707</v>
      </c>
      <c r="F49" s="4">
        <f t="shared" si="6"/>
        <v>235.6275899730083</v>
      </c>
      <c r="G49" s="4">
        <f t="shared" si="8"/>
        <v>14069.344245410301</v>
      </c>
      <c r="H49" s="4">
        <f t="shared" si="14"/>
        <v>58.280225978954974</v>
      </c>
      <c r="I49" s="4">
        <f t="shared" si="12"/>
        <v>1</v>
      </c>
      <c r="L49" s="1">
        <f t="shared" si="9"/>
        <v>30</v>
      </c>
      <c r="M49" s="1">
        <f>D48*'Pricing Component 1'!$B$22</f>
        <v>129616.57593466339</v>
      </c>
      <c r="N49" s="1">
        <f t="shared" si="10"/>
        <v>869.69048613871564</v>
      </c>
      <c r="O49" s="1">
        <f>N49*'Pricing Component 1'!$B$75</f>
        <v>260.90714584161469</v>
      </c>
      <c r="P49" s="4">
        <f t="shared" si="7"/>
        <v>13174.35083627566</v>
      </c>
      <c r="Q49" s="4">
        <f t="shared" si="11"/>
        <v>54.736904084395377</v>
      </c>
    </row>
    <row r="50" spans="1:17" x14ac:dyDescent="0.25">
      <c r="A50">
        <f>IF(nfi*12&gt;ROW()-14,'Life Accounting'!A49+1,0)</f>
        <v>42</v>
      </c>
      <c r="B50" s="22">
        <f t="shared" si="5"/>
        <v>1308</v>
      </c>
      <c r="D50" s="4">
        <f t="shared" si="15"/>
        <v>130702.11007404646</v>
      </c>
      <c r="E50" s="4">
        <f t="shared" si="13"/>
        <v>981.29604027729692</v>
      </c>
      <c r="F50" s="4">
        <f t="shared" si="6"/>
        <v>237.41003655062849</v>
      </c>
      <c r="G50" s="4">
        <f t="shared" si="8"/>
        <v>13831.934208859671</v>
      </c>
      <c r="H50" s="4">
        <f t="shared" si="14"/>
        <v>57.320250010562205</v>
      </c>
      <c r="I50" s="4">
        <f t="shared" si="12"/>
        <v>1</v>
      </c>
      <c r="L50" s="1">
        <f t="shared" si="9"/>
        <v>31</v>
      </c>
      <c r="M50" s="1">
        <f>D49*'Pricing Component 1'!$B$22</f>
        <v>130597.08344740437</v>
      </c>
      <c r="N50" s="1">
        <f t="shared" si="10"/>
        <v>876.26941363520746</v>
      </c>
      <c r="O50" s="1">
        <f>N50*'Pricing Component 1'!$B$75</f>
        <v>262.88082409056221</v>
      </c>
      <c r="P50" s="4">
        <f t="shared" si="7"/>
        <v>12911.470012185098</v>
      </c>
      <c r="Q50" s="4">
        <f t="shared" si="11"/>
        <v>53.673936076198245</v>
      </c>
    </row>
    <row r="51" spans="1:17" x14ac:dyDescent="0.25">
      <c r="A51">
        <f>IF(nfi*12&gt;ROW()-14,'Life Accounting'!A50+1,0)</f>
        <v>43</v>
      </c>
      <c r="B51" s="22">
        <f t="shared" si="5"/>
        <v>1339</v>
      </c>
      <c r="D51" s="4">
        <f t="shared" si="15"/>
        <v>131690.82930177316</v>
      </c>
      <c r="E51" s="4">
        <f t="shared" si="13"/>
        <v>988.71922772671599</v>
      </c>
      <c r="F51" s="4">
        <f t="shared" si="6"/>
        <v>239.20596676062988</v>
      </c>
      <c r="G51" s="4">
        <f t="shared" si="8"/>
        <v>13592.728242099041</v>
      </c>
      <c r="H51" s="4">
        <f t="shared" si="14"/>
        <v>56.353012134174456</v>
      </c>
      <c r="I51" s="4">
        <f t="shared" si="12"/>
        <v>1</v>
      </c>
      <c r="L51" s="1">
        <f t="shared" si="9"/>
        <v>31</v>
      </c>
      <c r="M51" s="1">
        <f>D50*'Pricing Component 1'!$B$22</f>
        <v>131585.00818263876</v>
      </c>
      <c r="N51" s="1">
        <f t="shared" si="10"/>
        <v>882.89810859230056</v>
      </c>
      <c r="O51" s="1">
        <f>N51*'Pricing Component 1'!$B$75</f>
        <v>264.86943257769013</v>
      </c>
      <c r="P51" s="4">
        <f t="shared" si="7"/>
        <v>12646.600579607408</v>
      </c>
      <c r="Q51" s="4">
        <f t="shared" si="11"/>
        <v>52.602927058505806</v>
      </c>
    </row>
    <row r="52" spans="1:17" x14ac:dyDescent="0.25">
      <c r="A52">
        <f>IF(nfi*12&gt;ROW()-14,'Life Accounting'!A51+1,0)</f>
        <v>44</v>
      </c>
      <c r="B52" s="22">
        <f t="shared" si="5"/>
        <v>1369</v>
      </c>
      <c r="D52" s="4">
        <f t="shared" si="15"/>
        <v>132687.02787096362</v>
      </c>
      <c r="E52" s="4">
        <f t="shared" si="13"/>
        <v>996.19856919046651</v>
      </c>
      <c r="F52" s="4">
        <f t="shared" si="6"/>
        <v>241.01548260233437</v>
      </c>
      <c r="G52" s="4">
        <f t="shared" si="8"/>
        <v>13351.712759496708</v>
      </c>
      <c r="H52" s="4">
        <f t="shared" si="14"/>
        <v>55.378457415804377</v>
      </c>
      <c r="I52" s="4">
        <f t="shared" si="12"/>
        <v>1</v>
      </c>
      <c r="L52" s="1">
        <f t="shared" si="9"/>
        <v>30</v>
      </c>
      <c r="M52" s="1">
        <f>D51*'Pricing Component 1'!$B$22</f>
        <v>132580.40624925794</v>
      </c>
      <c r="N52" s="1">
        <f t="shared" si="10"/>
        <v>889.57694748477661</v>
      </c>
      <c r="O52" s="1">
        <f>N52*'Pricing Component 1'!$B$75</f>
        <v>266.87308424543295</v>
      </c>
      <c r="P52" s="4">
        <f t="shared" si="7"/>
        <v>12379.727495361974</v>
      </c>
      <c r="Q52" s="4">
        <f t="shared" si="11"/>
        <v>51.523816203679594</v>
      </c>
    </row>
    <row r="53" spans="1:17" x14ac:dyDescent="0.25">
      <c r="A53">
        <f>IF(nfi*12&gt;ROW()-14,'Life Accounting'!A52+1,0)</f>
        <v>45</v>
      </c>
      <c r="B53" s="22">
        <f t="shared" si="5"/>
        <v>1400</v>
      </c>
      <c r="D53" s="4">
        <f t="shared" si="15"/>
        <v>133690.76236041915</v>
      </c>
      <c r="E53" s="4">
        <f t="shared" si="13"/>
        <v>1003.7344894555215</v>
      </c>
      <c r="F53" s="4">
        <f t="shared" si="6"/>
        <v>242.83868684665575</v>
      </c>
      <c r="G53" s="4">
        <f t="shared" si="8"/>
        <v>13108.874072650053</v>
      </c>
      <c r="H53" s="4">
        <f t="shared" si="14"/>
        <v>54.396530505906725</v>
      </c>
      <c r="I53" s="4">
        <f t="shared" si="12"/>
        <v>1</v>
      </c>
      <c r="L53" s="1">
        <f t="shared" si="9"/>
        <v>31</v>
      </c>
      <c r="M53" s="1">
        <f>D52*'Pricing Component 1'!$B$22</f>
        <v>133583.33418059887</v>
      </c>
      <c r="N53" s="1">
        <f t="shared" si="10"/>
        <v>896.30630963525618</v>
      </c>
      <c r="O53" s="1">
        <f>N53*'Pricing Component 1'!$B$75</f>
        <v>268.89189289057686</v>
      </c>
      <c r="P53" s="4">
        <f t="shared" si="7"/>
        <v>12110.835602471398</v>
      </c>
      <c r="Q53" s="4">
        <f t="shared" si="11"/>
        <v>50.436542223939682</v>
      </c>
    </row>
    <row r="54" spans="1:17" x14ac:dyDescent="0.25">
      <c r="A54">
        <f>IF(nfi*12&gt;ROW()-14,'Life Accounting'!A53+1,0)</f>
        <v>46</v>
      </c>
      <c r="B54" s="22">
        <f t="shared" si="5"/>
        <v>1430</v>
      </c>
      <c r="D54" s="4">
        <f t="shared" si="15"/>
        <v>134702.08977694137</v>
      </c>
      <c r="E54" s="4">
        <f t="shared" si="13"/>
        <v>1011.32741652223</v>
      </c>
      <c r="F54" s="4">
        <f t="shared" si="6"/>
        <v>244.67568304193657</v>
      </c>
      <c r="G54" s="4">
        <f t="shared" si="8"/>
        <v>12864.198389608116</v>
      </c>
      <c r="H54" s="4">
        <f t="shared" si="14"/>
        <v>53.407175636234832</v>
      </c>
      <c r="I54" s="4">
        <f t="shared" si="12"/>
        <v>1</v>
      </c>
      <c r="L54" s="1">
        <f t="shared" si="9"/>
        <v>30</v>
      </c>
      <c r="M54" s="1">
        <f>D53*'Pricing Component 1'!$B$22</f>
        <v>134593.84893765501</v>
      </c>
      <c r="N54" s="1">
        <f t="shared" si="10"/>
        <v>903.08657723586657</v>
      </c>
      <c r="O54" s="1">
        <f>N54*'Pricing Component 1'!$B$75</f>
        <v>270.92597317075996</v>
      </c>
      <c r="P54" s="4">
        <f t="shared" si="7"/>
        <v>11839.909629300637</v>
      </c>
      <c r="Q54" s="4">
        <f t="shared" si="11"/>
        <v>49.341043367883955</v>
      </c>
    </row>
    <row r="55" spans="1:17" x14ac:dyDescent="0.25">
      <c r="A55">
        <f>IF(nfi*12&gt;ROW()-14,'Life Accounting'!A54+1,0)</f>
        <v>47</v>
      </c>
      <c r="B55" s="22">
        <f t="shared" si="5"/>
        <v>1461</v>
      </c>
      <c r="D55" s="4">
        <f t="shared" si="15"/>
        <v>135721.06755857001</v>
      </c>
      <c r="E55" s="4">
        <f t="shared" si="13"/>
        <v>1018.9777816286252</v>
      </c>
      <c r="F55" s="4">
        <f t="shared" si="6"/>
        <v>246.52657551982904</v>
      </c>
      <c r="G55" s="4">
        <f t="shared" si="8"/>
        <v>12617.671814088288</v>
      </c>
      <c r="H55" s="4">
        <f t="shared" si="14"/>
        <v>52.410336616673277</v>
      </c>
      <c r="I55" s="4">
        <f t="shared" si="12"/>
        <v>1</v>
      </c>
      <c r="L55" s="1">
        <f t="shared" si="9"/>
        <v>31</v>
      </c>
      <c r="M55" s="1">
        <f>D54*'Pricing Component 1'!$B$22</f>
        <v>135612.0079123113</v>
      </c>
      <c r="N55" s="1">
        <f t="shared" si="10"/>
        <v>909.91813536992413</v>
      </c>
      <c r="O55" s="1">
        <f>N55*'Pricing Component 1'!$B$75</f>
        <v>272.97544061097722</v>
      </c>
      <c r="P55" s="4">
        <f t="shared" si="7"/>
        <v>11566.93418868966</v>
      </c>
      <c r="Q55" s="4">
        <f t="shared" si="11"/>
        <v>48.237257416980889</v>
      </c>
    </row>
    <row r="56" spans="1:17" x14ac:dyDescent="0.25">
      <c r="A56">
        <f>IF(nfi*12&gt;ROW()-14,'Life Accounting'!A55+1,0)</f>
        <v>48</v>
      </c>
      <c r="B56" s="22">
        <f t="shared" si="5"/>
        <v>1492</v>
      </c>
      <c r="D56" s="4">
        <f t="shared" si="15"/>
        <v>136747.75357784494</v>
      </c>
      <c r="E56" s="4">
        <f t="shared" si="13"/>
        <v>1026.686019274917</v>
      </c>
      <c r="F56" s="4">
        <f t="shared" si="6"/>
        <v>248.39146940122077</v>
      </c>
      <c r="G56" s="4">
        <f t="shared" si="8"/>
        <v>12369.280344687068</v>
      </c>
      <c r="H56" s="4">
        <f t="shared" si="14"/>
        <v>51.405956832046556</v>
      </c>
      <c r="I56" s="4">
        <f t="shared" si="12"/>
        <v>1</v>
      </c>
      <c r="L56" s="1">
        <f t="shared" si="9"/>
        <v>31</v>
      </c>
      <c r="M56" s="1">
        <f>D55*'Pricing Component 1'!$B$22</f>
        <v>136637.86893060376</v>
      </c>
      <c r="N56" s="1">
        <f t="shared" si="10"/>
        <v>916.80137203374761</v>
      </c>
      <c r="O56" s="1">
        <f>N56*'Pricing Component 1'!$B$75</f>
        <v>275.04041161012429</v>
      </c>
      <c r="P56" s="4">
        <f t="shared" si="7"/>
        <v>11291.893777079536</v>
      </c>
      <c r="Q56" s="4">
        <f t="shared" si="11"/>
        <v>47.125121682035818</v>
      </c>
    </row>
    <row r="57" spans="1:17" x14ac:dyDescent="0.25">
      <c r="A57">
        <f>IF(nfi*12&gt;ROW()-14,'Life Accounting'!A56+1,0)</f>
        <v>49</v>
      </c>
      <c r="B57" s="22">
        <f t="shared" si="5"/>
        <v>1521</v>
      </c>
      <c r="D57" s="4">
        <f t="shared" si="15"/>
        <v>137782.20614509311</v>
      </c>
      <c r="E57" s="4">
        <f t="shared" si="13"/>
        <v>1034.4525672481689</v>
      </c>
      <c r="F57" s="4">
        <f t="shared" si="6"/>
        <v>250.27047060220482</v>
      </c>
      <c r="G57" s="4">
        <f t="shared" si="8"/>
        <v>12119.009874084863</v>
      </c>
      <c r="H57" s="4">
        <f t="shared" si="14"/>
        <v>50.393979238903682</v>
      </c>
      <c r="I57" s="4">
        <f t="shared" si="12"/>
        <v>1</v>
      </c>
      <c r="L57" s="1">
        <f t="shared" si="9"/>
        <v>29</v>
      </c>
      <c r="M57" s="1">
        <f>D56*'Pricing Component 1'!$B$22</f>
        <v>137671.4902560036</v>
      </c>
      <c r="N57" s="1">
        <f t="shared" si="10"/>
        <v>923.73667815866065</v>
      </c>
      <c r="O57" s="1">
        <f>N57*'Pricing Component 1'!$B$75</f>
        <v>277.12100344759818</v>
      </c>
      <c r="P57" s="4">
        <f t="shared" si="7"/>
        <v>11014.772773631938</v>
      </c>
      <c r="Q57" s="4">
        <f t="shared" si="11"/>
        <v>46.004572999630575</v>
      </c>
    </row>
    <row r="58" spans="1:17" x14ac:dyDescent="0.25">
      <c r="A58">
        <f>IF(nfi*12&gt;ROW()-14,'Life Accounting'!A57+1,0)</f>
        <v>50</v>
      </c>
      <c r="B58" s="22">
        <f t="shared" si="5"/>
        <v>1552</v>
      </c>
      <c r="D58" s="4">
        <f t="shared" si="15"/>
        <v>138824.48401174028</v>
      </c>
      <c r="E58" s="4">
        <f t="shared" si="13"/>
        <v>1042.2778666471618</v>
      </c>
      <c r="F58" s="4">
        <f t="shared" si="6"/>
        <v>252.16368584009527</v>
      </c>
      <c r="G58" s="4">
        <f t="shared" si="8"/>
        <v>11866.846188244766</v>
      </c>
      <c r="H58" s="4">
        <f t="shared" si="14"/>
        <v>49.374346362278374</v>
      </c>
      <c r="I58" s="4">
        <f t="shared" si="12"/>
        <v>1</v>
      </c>
      <c r="L58" s="1">
        <f t="shared" si="9"/>
        <v>31</v>
      </c>
      <c r="M58" s="1">
        <f>D57*'Pricing Component 1'!$B$22</f>
        <v>138712.93059272645</v>
      </c>
      <c r="N58" s="1">
        <f t="shared" si="10"/>
        <v>930.72444763334352</v>
      </c>
      <c r="O58" s="1">
        <f>N58*'Pricing Component 1'!$B$75</f>
        <v>279.21733429000307</v>
      </c>
      <c r="P58" s="4">
        <f t="shared" si="7"/>
        <v>10735.555439341935</v>
      </c>
      <c r="Q58" s="4">
        <f t="shared" si="11"/>
        <v>44.875547728536219</v>
      </c>
    </row>
    <row r="59" spans="1:17" x14ac:dyDescent="0.25">
      <c r="A59">
        <f>IF(nfi*12&gt;ROW()-14,'Life Accounting'!A58+1,0)</f>
        <v>51</v>
      </c>
      <c r="B59" s="22">
        <f t="shared" si="5"/>
        <v>1582</v>
      </c>
      <c r="D59" s="4">
        <f t="shared" si="15"/>
        <v>139874.64637364773</v>
      </c>
      <c r="E59" s="4">
        <f t="shared" si="13"/>
        <v>1050.1623619074464</v>
      </c>
      <c r="F59" s="4">
        <f t="shared" si="6"/>
        <v>254.07122263948813</v>
      </c>
      <c r="G59" s="4">
        <f t="shared" si="8"/>
        <v>11612.774965605278</v>
      </c>
      <c r="H59" s="4">
        <f t="shared" si="14"/>
        <v>48.347000292424809</v>
      </c>
      <c r="I59" s="4">
        <f t="shared" si="12"/>
        <v>1</v>
      </c>
      <c r="L59" s="1">
        <f t="shared" si="9"/>
        <v>30</v>
      </c>
      <c r="M59" s="1">
        <f>D58*'Pricing Component 1'!$B$22</f>
        <v>139762.24908906635</v>
      </c>
      <c r="N59" s="1">
        <f t="shared" si="10"/>
        <v>937.76507732606842</v>
      </c>
      <c r="O59" s="1">
        <f>N59*'Pricing Component 1'!$B$75</f>
        <v>281.32952319782049</v>
      </c>
      <c r="P59" s="4">
        <f t="shared" si="7"/>
        <v>10454.225916144114</v>
      </c>
      <c r="Q59" s="4">
        <f t="shared" si="11"/>
        <v>43.737981746098427</v>
      </c>
    </row>
    <row r="60" spans="1:17" x14ac:dyDescent="0.25">
      <c r="A60">
        <f>IF(nfi*12&gt;ROW()-14,'Life Accounting'!A59+1,0)</f>
        <v>52</v>
      </c>
      <c r="B60" s="22">
        <f t="shared" si="5"/>
        <v>1613</v>
      </c>
      <c r="D60" s="4">
        <f t="shared" si="15"/>
        <v>140932.7528744743</v>
      </c>
      <c r="E60" s="4">
        <f t="shared" si="13"/>
        <v>1058.1065008265853</v>
      </c>
      <c r="F60" s="4">
        <f t="shared" si="6"/>
        <v>255.99318933836835</v>
      </c>
      <c r="G60" s="4">
        <f t="shared" si="8"/>
        <v>11356.781776266909</v>
      </c>
      <c r="H60" s="4">
        <f t="shared" si="14"/>
        <v>47.311882681528651</v>
      </c>
      <c r="I60" s="4">
        <f t="shared" si="12"/>
        <v>1</v>
      </c>
      <c r="L60" s="1">
        <f t="shared" si="9"/>
        <v>31</v>
      </c>
      <c r="M60" s="1">
        <f>D59*'Pricing Component 1'!$B$22</f>
        <v>140819.50534075504</v>
      </c>
      <c r="N60" s="1">
        <f t="shared" si="10"/>
        <v>944.85896710731322</v>
      </c>
      <c r="O60" s="1">
        <f>N60*'Pricing Component 1'!$B$75</f>
        <v>283.45769013219393</v>
      </c>
      <c r="P60" s="4">
        <f t="shared" si="7"/>
        <v>10170.76822601192</v>
      </c>
      <c r="Q60" s="4">
        <f t="shared" si="11"/>
        <v>42.591810444595737</v>
      </c>
    </row>
    <row r="61" spans="1:17" x14ac:dyDescent="0.25">
      <c r="A61">
        <f>IF(nfi*12&gt;ROW()-14,'Life Accounting'!A60+1,0)</f>
        <v>53</v>
      </c>
      <c r="B61" s="22">
        <f t="shared" si="5"/>
        <v>1643</v>
      </c>
      <c r="D61" s="4">
        <f t="shared" si="15"/>
        <v>141998.86360906388</v>
      </c>
      <c r="E61" s="4">
        <f t="shared" si="13"/>
        <v>1066.1107345895841</v>
      </c>
      <c r="F61" s="4">
        <f t="shared" si="6"/>
        <v>257.92969509426274</v>
      </c>
      <c r="G61" s="4">
        <f t="shared" si="8"/>
        <v>11098.852081172647</v>
      </c>
      <c r="H61" s="4">
        <f t="shared" si="14"/>
        <v>46.268934740393206</v>
      </c>
      <c r="I61" s="4">
        <f t="shared" si="12"/>
        <v>1</v>
      </c>
      <c r="L61" s="1">
        <f t="shared" si="9"/>
        <v>30</v>
      </c>
      <c r="M61" s="1">
        <f>D60*'Pricing Component 1'!$B$22</f>
        <v>141884.75939434677</v>
      </c>
      <c r="N61" s="1">
        <f t="shared" si="10"/>
        <v>952.00651987246238</v>
      </c>
      <c r="O61" s="1">
        <f>N61*'Pricing Component 1'!$B$75</f>
        <v>285.60195596173872</v>
      </c>
      <c r="P61" s="4">
        <f t="shared" si="7"/>
        <v>9885.166270050182</v>
      </c>
      <c r="Q61" s="4">
        <f t="shared" si="11"/>
        <v>41.436968727570132</v>
      </c>
    </row>
    <row r="62" spans="1:17" x14ac:dyDescent="0.25">
      <c r="A62">
        <f>IF(nfi*12&gt;ROW()-14,'Life Accounting'!A61+1,0)</f>
        <v>54</v>
      </c>
      <c r="B62" s="22">
        <f t="shared" si="5"/>
        <v>1674</v>
      </c>
      <c r="D62" s="4">
        <f t="shared" si="15"/>
        <v>143073.03912685841</v>
      </c>
      <c r="E62" s="4">
        <f t="shared" si="13"/>
        <v>1074.1755177945179</v>
      </c>
      <c r="F62" s="4">
        <f t="shared" si="6"/>
        <v>259.88084989043938</v>
      </c>
      <c r="G62" s="4">
        <f t="shared" si="8"/>
        <v>10838.971231282207</v>
      </c>
      <c r="H62" s="4">
        <f t="shared" si="14"/>
        <v>45.218097235100508</v>
      </c>
      <c r="I62" s="4">
        <f t="shared" si="12"/>
        <v>1</v>
      </c>
      <c r="L62" s="1">
        <f t="shared" si="9"/>
        <v>31</v>
      </c>
      <c r="M62" s="1">
        <f>D61*'Pricing Component 1'!$B$22</f>
        <v>142958.0717506285</v>
      </c>
      <c r="N62" s="1">
        <f t="shared" si="10"/>
        <v>959.20814156462438</v>
      </c>
      <c r="O62" s="1">
        <f>N62*'Pricing Component 1'!$B$75</f>
        <v>287.76244246938728</v>
      </c>
      <c r="P62" s="4">
        <f t="shared" si="7"/>
        <v>9597.4038275807943</v>
      </c>
      <c r="Q62" s="4">
        <f t="shared" si="11"/>
        <v>40.273391006129927</v>
      </c>
    </row>
    <row r="63" spans="1:17" x14ac:dyDescent="0.25">
      <c r="A63">
        <f>IF(nfi*12&gt;ROW()-14,'Life Accounting'!A62+1,0)</f>
        <v>55</v>
      </c>
      <c r="B63" s="22">
        <f t="shared" si="5"/>
        <v>1705</v>
      </c>
      <c r="D63" s="4">
        <f t="shared" si="15"/>
        <v>144155.34043533675</v>
      </c>
      <c r="E63" s="4">
        <f t="shared" si="13"/>
        <v>1082.3013084783488</v>
      </c>
      <c r="F63" s="4">
        <f t="shared" si="6"/>
        <v>261.8467645421544</v>
      </c>
      <c r="G63" s="4">
        <f t="shared" si="8"/>
        <v>10577.124466740052</v>
      </c>
      <c r="H63" s="4">
        <f t="shared" si="14"/>
        <v>44.159310483647118</v>
      </c>
      <c r="I63" s="4">
        <f t="shared" si="12"/>
        <v>1</v>
      </c>
      <c r="L63" s="1">
        <f t="shared" si="9"/>
        <v>31</v>
      </c>
      <c r="M63" s="1">
        <f>D62*'Pricing Component 1'!$B$22</f>
        <v>144039.50336805615</v>
      </c>
      <c r="N63" s="1">
        <f t="shared" si="10"/>
        <v>966.46424119774019</v>
      </c>
      <c r="O63" s="1">
        <f>N63*'Pricing Component 1'!$B$75</f>
        <v>289.93927235932205</v>
      </c>
      <c r="P63" s="4">
        <f t="shared" si="7"/>
        <v>9307.4645552214715</v>
      </c>
      <c r="Q63" s="4">
        <f t="shared" si="11"/>
        <v>39.101011195224658</v>
      </c>
    </row>
    <row r="64" spans="1:17" x14ac:dyDescent="0.25">
      <c r="A64">
        <f>IF(nfi*12&gt;ROW()-14,'Life Accounting'!A63+1,0)</f>
        <v>56</v>
      </c>
      <c r="B64" s="22">
        <f t="shared" si="5"/>
        <v>1735</v>
      </c>
      <c r="D64" s="4">
        <f t="shared" si="15"/>
        <v>145245.82900347968</v>
      </c>
      <c r="E64" s="4">
        <f t="shared" si="13"/>
        <v>1090.4885681429409</v>
      </c>
      <c r="F64" s="4">
        <f t="shared" si="6"/>
        <v>263.82755070294542</v>
      </c>
      <c r="G64" s="4">
        <f t="shared" si="8"/>
        <v>10313.296916037107</v>
      </c>
      <c r="H64" s="4">
        <f t="shared" si="14"/>
        <v>43.092514352554552</v>
      </c>
      <c r="I64" s="4">
        <f t="shared" si="12"/>
        <v>1</v>
      </c>
      <c r="L64" s="1">
        <f t="shared" si="9"/>
        <v>30</v>
      </c>
      <c r="M64" s="1">
        <f>D63*'Pricing Component 1'!$B$22</f>
        <v>145129.11566621662</v>
      </c>
      <c r="N64" s="1">
        <f t="shared" si="10"/>
        <v>973.77523087986629</v>
      </c>
      <c r="O64" s="1">
        <f>N64*'Pricing Component 1'!$B$75</f>
        <v>292.13256926395985</v>
      </c>
      <c r="P64" s="4">
        <f t="shared" si="7"/>
        <v>9015.3319859575113</v>
      </c>
      <c r="Q64" s="4">
        <f t="shared" si="11"/>
        <v>37.919762709891842</v>
      </c>
    </row>
    <row r="65" spans="1:17" x14ac:dyDescent="0.25">
      <c r="A65">
        <f>IF(nfi*12&gt;ROW()-14,'Life Accounting'!A64+1,0)</f>
        <v>57</v>
      </c>
      <c r="B65" s="22">
        <f t="shared" si="5"/>
        <v>1766</v>
      </c>
      <c r="D65" s="4">
        <f t="shared" si="15"/>
        <v>146344.56676526094</v>
      </c>
      <c r="E65" s="4">
        <f t="shared" si="13"/>
        <v>1098.7377617812708</v>
      </c>
      <c r="F65" s="4">
        <f t="shared" si="6"/>
        <v>265.82332087097308</v>
      </c>
      <c r="G65" s="4">
        <f t="shared" si="8"/>
        <v>10047.473595166133</v>
      </c>
      <c r="H65" s="4">
        <f t="shared" si="14"/>
        <v>42.017648253453991</v>
      </c>
      <c r="I65" s="4">
        <f t="shared" si="12"/>
        <v>1</v>
      </c>
      <c r="L65" s="1">
        <f t="shared" si="9"/>
        <v>31</v>
      </c>
      <c r="M65" s="1">
        <f>D64*'Pricing Component 1'!$B$22</f>
        <v>146226.97052931614</v>
      </c>
      <c r="N65" s="1">
        <f t="shared" si="10"/>
        <v>981.14152583645773</v>
      </c>
      <c r="O65" s="1">
        <f>N65*'Pricing Component 1'!$B$75</f>
        <v>294.34245775093729</v>
      </c>
      <c r="P65" s="4">
        <f t="shared" si="7"/>
        <v>8720.9895282065736</v>
      </c>
      <c r="Q65" s="4">
        <f t="shared" si="11"/>
        <v>36.729578461475242</v>
      </c>
    </row>
    <row r="66" spans="1:17" x14ac:dyDescent="0.25">
      <c r="A66">
        <f>IF(nfi*12&gt;ROW()-14,'Life Accounting'!A65+1,0)</f>
        <v>58</v>
      </c>
      <c r="B66" s="22">
        <f t="shared" si="5"/>
        <v>1796</v>
      </c>
      <c r="D66" s="4">
        <f t="shared" si="15"/>
        <v>147451.61612316477</v>
      </c>
      <c r="E66" s="4">
        <f t="shared" si="13"/>
        <v>1107.0493579038359</v>
      </c>
      <c r="F66" s="4">
        <f t="shared" si="6"/>
        <v>267.83418839541008</v>
      </c>
      <c r="G66" s="4">
        <f t="shared" si="8"/>
        <v>9779.6394067707224</v>
      </c>
      <c r="H66" s="4">
        <f t="shared" si="14"/>
        <v>40.934651139645169</v>
      </c>
      <c r="I66" s="4">
        <f t="shared" si="12"/>
        <v>1</v>
      </c>
      <c r="L66" s="1">
        <f t="shared" si="9"/>
        <v>30</v>
      </c>
      <c r="M66" s="1">
        <f>D65*'Pricing Component 1'!$B$22</f>
        <v>147333.130309695</v>
      </c>
      <c r="N66" s="1">
        <f t="shared" si="10"/>
        <v>988.56354443405871</v>
      </c>
      <c r="O66" s="1">
        <f>N66*'Pricing Component 1'!$B$75</f>
        <v>296.5690633302176</v>
      </c>
      <c r="P66" s="4">
        <f t="shared" si="7"/>
        <v>8424.4204648763553</v>
      </c>
      <c r="Q66" s="4">
        <f t="shared" si="11"/>
        <v>35.530390853814637</v>
      </c>
    </row>
    <row r="67" spans="1:17" x14ac:dyDescent="0.25">
      <c r="A67">
        <f>IF(nfi*12&gt;ROW()-14,'Life Accounting'!A66+1,0)</f>
        <v>59</v>
      </c>
      <c r="B67" s="22">
        <f t="shared" si="5"/>
        <v>1827</v>
      </c>
      <c r="D67" s="4">
        <f t="shared" si="15"/>
        <v>148567.03995173002</v>
      </c>
      <c r="E67" s="4">
        <f t="shared" si="13"/>
        <v>1115.4238285652655</v>
      </c>
      <c r="F67" s="4">
        <f t="shared" si="6"/>
        <v>269.86026748287929</v>
      </c>
      <c r="G67" s="4">
        <f t="shared" si="8"/>
        <v>9509.7791392878426</v>
      </c>
      <c r="H67" s="4">
        <f t="shared" si="14"/>
        <v>39.843461502629275</v>
      </c>
      <c r="I67" s="4">
        <f t="shared" si="12"/>
        <v>1</v>
      </c>
      <c r="L67" s="1">
        <f t="shared" si="9"/>
        <v>31</v>
      </c>
      <c r="M67" s="1">
        <f>D66*'Pricing Component 1'!$B$22</f>
        <v>148447.65783136876</v>
      </c>
      <c r="N67" s="1">
        <f t="shared" si="10"/>
        <v>996.04170820399304</v>
      </c>
      <c r="O67" s="1">
        <f>N67*'Pricing Component 1'!$B$75</f>
        <v>298.81251246119791</v>
      </c>
      <c r="P67" s="4">
        <f t="shared" si="7"/>
        <v>8125.6079524151573</v>
      </c>
      <c r="Q67" s="4">
        <f t="shared" si="11"/>
        <v>34.322131779406675</v>
      </c>
    </row>
    <row r="68" spans="1:17" x14ac:dyDescent="0.25">
      <c r="A68">
        <f>IF(nfi*12&gt;ROW()-14,'Life Accounting'!A67+1,0)</f>
        <v>60</v>
      </c>
      <c r="B68" s="22">
        <f>IF(A68&gt;0,EOMONTH(B67,1),0)</f>
        <v>1858</v>
      </c>
      <c r="D68" s="4">
        <f t="shared" si="15"/>
        <v>149690.90160112115</v>
      </c>
      <c r="E68" s="4">
        <f t="shared" si="13"/>
        <v>1123.8616493911284</v>
      </c>
      <c r="F68" s="4">
        <f t="shared" si="6"/>
        <v>271.90167320393948</v>
      </c>
      <c r="G68" s="4">
        <f t="shared" si="8"/>
        <v>9237.8774660839026</v>
      </c>
      <c r="H68" s="4">
        <f t="shared" si="14"/>
        <v>38.744017368615566</v>
      </c>
      <c r="I68" s="4">
        <f t="shared" si="12"/>
        <v>1</v>
      </c>
      <c r="L68" s="1">
        <f t="shared" si="9"/>
        <v>31</v>
      </c>
      <c r="M68" s="1">
        <f>D67*'Pricing Component 1'!$B$22</f>
        <v>149570.6163935964</v>
      </c>
      <c r="N68" s="1">
        <f t="shared" si="10"/>
        <v>1003.5764418663748</v>
      </c>
      <c r="O68" s="1">
        <f>N68*'Pricing Component 1'!$B$75</f>
        <v>301.07293255991243</v>
      </c>
      <c r="P68" s="4">
        <f t="shared" si="7"/>
        <v>7824.5350198552451</v>
      </c>
      <c r="Q68" s="4">
        <f t="shared" si="11"/>
        <v>33.10473261553679</v>
      </c>
    </row>
    <row r="69" spans="1:17" x14ac:dyDescent="0.25">
      <c r="A69">
        <f>IF(nfi*12&gt;ROW()-14,'Life Accounting'!A68+1,0)</f>
        <v>61</v>
      </c>
      <c r="B69" s="22">
        <f t="shared" ref="B69:B92" si="16">IF(A69&gt;0,EOMONTH(B68,1),0)</f>
        <v>1886</v>
      </c>
      <c r="D69" s="4">
        <f t="shared" si="15"/>
        <v>150823.26490072609</v>
      </c>
      <c r="E69" s="4">
        <f t="shared" si="13"/>
        <v>1132.3632996049478</v>
      </c>
      <c r="F69" s="4">
        <f t="shared" si="6"/>
        <v>273.9585214996211</v>
      </c>
      <c r="G69" s="4">
        <f t="shared" si="8"/>
        <v>8963.9189445842821</v>
      </c>
      <c r="H69" s="4">
        <f t="shared" si="14"/>
        <v>37.636256295001616</v>
      </c>
      <c r="I69" s="4">
        <f t="shared" si="12"/>
        <v>1</v>
      </c>
      <c r="L69" s="1">
        <f t="shared" si="9"/>
        <v>28</v>
      </c>
      <c r="M69" s="1">
        <f>D68*'Pricing Component 1'!$B$22</f>
        <v>150702.0697744753</v>
      </c>
      <c r="N69" s="1">
        <f t="shared" si="10"/>
        <v>1011.1681733541482</v>
      </c>
      <c r="O69" s="1">
        <f>N69*'Pricing Component 1'!$B$75</f>
        <v>303.35045200624444</v>
      </c>
      <c r="P69" s="4">
        <f t="shared" si="7"/>
        <v>7521.1845678490008</v>
      </c>
      <c r="Q69" s="4">
        <f t="shared" si="11"/>
        <v>31.878124220381697</v>
      </c>
    </row>
    <row r="70" spans="1:17" x14ac:dyDescent="0.25">
      <c r="A70">
        <f>IF(nfi*12&gt;ROW()-14,'Life Accounting'!A69+1,0)</f>
        <v>62</v>
      </c>
      <c r="B70" s="22">
        <f t="shared" si="16"/>
        <v>1917</v>
      </c>
      <c r="D70" s="4">
        <f t="shared" si="15"/>
        <v>151964.1941627815</v>
      </c>
      <c r="E70" s="4">
        <f t="shared" si="13"/>
        <v>1140.9292620554179</v>
      </c>
      <c r="F70" s="4">
        <f t="shared" si="6"/>
        <v>276.03092918801121</v>
      </c>
      <c r="G70" s="4">
        <f t="shared" si="8"/>
        <v>8687.8880153962709</v>
      </c>
      <c r="H70" s="4">
        <f t="shared" si="14"/>
        <v>36.520115366826872</v>
      </c>
      <c r="I70" s="4">
        <f t="shared" si="12"/>
        <v>1</v>
      </c>
      <c r="L70" s="1">
        <f t="shared" si="9"/>
        <v>31</v>
      </c>
      <c r="M70" s="1">
        <f>D69*'Pricing Component 1'!$B$22</f>
        <v>151842.08223456354</v>
      </c>
      <c r="N70" s="1">
        <f t="shared" si="10"/>
        <v>1018.8173338374472</v>
      </c>
      <c r="O70" s="1">
        <f>N70*'Pricing Component 1'!$B$75</f>
        <v>305.64520015123418</v>
      </c>
      <c r="P70" s="4">
        <f t="shared" si="7"/>
        <v>7215.5393676977665</v>
      </c>
      <c r="Q70" s="4">
        <f t="shared" si="11"/>
        <v>30.642236929082578</v>
      </c>
    </row>
    <row r="71" spans="1:17" x14ac:dyDescent="0.25">
      <c r="A71">
        <f>IF(nfi*12&gt;ROW()-14,'Life Accounting'!A70+1,0)</f>
        <v>63</v>
      </c>
      <c r="B71" s="22">
        <f t="shared" si="16"/>
        <v>1947</v>
      </c>
      <c r="D71" s="4">
        <f t="shared" si="15"/>
        <v>153113.75418602533</v>
      </c>
      <c r="E71" s="4">
        <f t="shared" si="13"/>
        <v>1149.5600232438267</v>
      </c>
      <c r="F71" s="4">
        <f t="shared" si="6"/>
        <v>278.11901397088758</v>
      </c>
      <c r="G71" s="4">
        <f t="shared" si="8"/>
        <v>8409.769001425384</v>
      </c>
      <c r="H71" s="4">
        <f t="shared" si="14"/>
        <v>35.395531193199439</v>
      </c>
      <c r="I71" s="4">
        <f t="shared" si="12"/>
        <v>1</v>
      </c>
      <c r="L71" s="1">
        <f t="shared" si="9"/>
        <v>30</v>
      </c>
      <c r="M71" s="1">
        <f>D70*'Pricing Component 1'!$B$22</f>
        <v>152990.71852052954</v>
      </c>
      <c r="N71" s="1">
        <f t="shared" si="10"/>
        <v>1026.5243577480433</v>
      </c>
      <c r="O71" s="1">
        <f>N71*'Pricing Component 1'!$B$75</f>
        <v>307.95730732441297</v>
      </c>
      <c r="P71" s="4">
        <f t="shared" si="7"/>
        <v>6907.5820603733537</v>
      </c>
      <c r="Q71" s="4">
        <f t="shared" si="11"/>
        <v>29.397000549788473</v>
      </c>
    </row>
    <row r="72" spans="1:17" x14ac:dyDescent="0.25">
      <c r="A72">
        <f>IF(nfi*12&gt;ROW()-14,'Life Accounting'!A71+1,0)</f>
        <v>64</v>
      </c>
      <c r="B72" s="22">
        <f t="shared" si="16"/>
        <v>1978</v>
      </c>
      <c r="D72" s="4">
        <f t="shared" si="15"/>
        <v>154272.01025937701</v>
      </c>
      <c r="E72" s="4">
        <f t="shared" si="13"/>
        <v>1158.2560733516882</v>
      </c>
      <c r="F72" s="4">
        <f t="shared" si="6"/>
        <v>280.22289444040433</v>
      </c>
      <c r="G72" s="4">
        <f t="shared" si="8"/>
        <v>8129.5461069849798</v>
      </c>
      <c r="H72" s="4">
        <f t="shared" si="14"/>
        <v>34.262439903695821</v>
      </c>
      <c r="I72" s="4">
        <f t="shared" ref="I72:I92" si="17">IF(A72&gt;0,1,0)</f>
        <v>1</v>
      </c>
      <c r="L72" s="1">
        <f t="shared" si="9"/>
        <v>31</v>
      </c>
      <c r="M72" s="1">
        <f>D71*'Pricing Component 1'!$B$22</f>
        <v>154148.04386882941</v>
      </c>
      <c r="N72" s="1">
        <f t="shared" si="10"/>
        <v>1034.289682804083</v>
      </c>
      <c r="O72" s="1">
        <f>N72*'Pricing Component 1'!$B$75</f>
        <v>310.2869048412249</v>
      </c>
      <c r="P72" s="4">
        <f t="shared" si="7"/>
        <v>6597.2951555321288</v>
      </c>
      <c r="Q72" s="4">
        <f t="shared" si="11"/>
        <v>28.142344359669778</v>
      </c>
    </row>
    <row r="73" spans="1:17" x14ac:dyDescent="0.25">
      <c r="A73">
        <f>IF(nfi*12&gt;ROW()-14,'Life Accounting'!A72+1,0)</f>
        <v>65</v>
      </c>
      <c r="B73" s="22">
        <f t="shared" si="16"/>
        <v>2008</v>
      </c>
      <c r="D73" s="4">
        <f t="shared" si="15"/>
        <v>155439.02816564561</v>
      </c>
      <c r="E73" s="4">
        <f t="shared" ref="E73:E92" si="18">(IF(nfi*12&gt;=A73,D72*(ced-1),0))*I73</f>
        <v>1167.0179062685806</v>
      </c>
      <c r="F73" s="4">
        <f t="shared" si="6"/>
        <v>282.34269008582658</v>
      </c>
      <c r="G73" s="4">
        <f t="shared" si="8"/>
        <v>7847.2034168991531</v>
      </c>
      <c r="H73" s="4">
        <f t="shared" si="14"/>
        <v>33.120777144733388</v>
      </c>
      <c r="I73" s="4">
        <f t="shared" si="17"/>
        <v>1</v>
      </c>
      <c r="L73" s="1">
        <f t="shared" si="9"/>
        <v>30</v>
      </c>
      <c r="M73" s="1">
        <f>D72*'Pricing Component 1'!$B$22</f>
        <v>155314.1240094119</v>
      </c>
      <c r="N73" s="1">
        <f t="shared" si="10"/>
        <v>1042.113750034885</v>
      </c>
      <c r="O73" s="1">
        <f>N73*'Pricing Component 1'!$B$75</f>
        <v>312.63412501046548</v>
      </c>
      <c r="P73" s="4">
        <f t="shared" si="7"/>
        <v>6284.6610305216636</v>
      </c>
      <c r="Q73" s="4">
        <f t="shared" si="11"/>
        <v>26.878197100901509</v>
      </c>
    </row>
    <row r="74" spans="1:17" x14ac:dyDescent="0.25">
      <c r="A74">
        <f>IF(nfi*12&gt;ROW()-14,'Life Accounting'!A73+1,0)</f>
        <v>66</v>
      </c>
      <c r="B74" s="22">
        <f t="shared" si="16"/>
        <v>2039</v>
      </c>
      <c r="D74" s="4">
        <f t="shared" si="15"/>
        <v>156614.8741852658</v>
      </c>
      <c r="E74" s="4">
        <f t="shared" si="18"/>
        <v>1175.846019620197</v>
      </c>
      <c r="F74" s="4">
        <f t="shared" ref="F74:F92" si="19">E74*$B$3</f>
        <v>284.47852130031725</v>
      </c>
      <c r="G74" s="4">
        <f t="shared" si="8"/>
        <v>7562.7248955988362</v>
      </c>
      <c r="H74" s="4">
        <f t="shared" si="14"/>
        <v>31.970478075915466</v>
      </c>
      <c r="I74" s="4">
        <f t="shared" si="17"/>
        <v>1</v>
      </c>
      <c r="L74" s="1">
        <f t="shared" si="9"/>
        <v>31</v>
      </c>
      <c r="M74" s="1">
        <f>D73*'Pricing Component 1'!$B$22</f>
        <v>156489.02516945163</v>
      </c>
      <c r="N74" s="1">
        <f t="shared" si="10"/>
        <v>1049.9970038060274</v>
      </c>
      <c r="O74" s="1">
        <f>N74*'Pricing Component 1'!$B$75</f>
        <v>314.99910114180818</v>
      </c>
      <c r="P74" s="4">
        <f t="shared" ref="P74:P92" si="20">(P73-O74)</f>
        <v>5969.6619293798558</v>
      </c>
      <c r="Q74" s="4">
        <f t="shared" si="11"/>
        <v>25.604486976616279</v>
      </c>
    </row>
    <row r="75" spans="1:17" x14ac:dyDescent="0.25">
      <c r="A75">
        <f>IF(nfi*12&gt;ROW()-14,'Life Accounting'!A74+1,0)</f>
        <v>67</v>
      </c>
      <c r="B75" s="22">
        <f t="shared" si="16"/>
        <v>2070</v>
      </c>
      <c r="D75" s="4">
        <f t="shared" si="15"/>
        <v>157799.61510006239</v>
      </c>
      <c r="E75" s="4">
        <f t="shared" si="18"/>
        <v>1184.7409147966082</v>
      </c>
      <c r="F75" s="4">
        <f t="shared" si="19"/>
        <v>286.63050938777457</v>
      </c>
      <c r="G75" s="4">
        <f t="shared" ref="G75:G92" si="21">(G74-F75)</f>
        <v>7276.0943862110616</v>
      </c>
      <c r="H75" s="4">
        <f t="shared" si="14"/>
        <v>30.811477366348729</v>
      </c>
      <c r="I75" s="4">
        <f t="shared" si="17"/>
        <v>1</v>
      </c>
      <c r="L75" s="1">
        <f t="shared" si="9"/>
        <v>31</v>
      </c>
      <c r="M75" s="1">
        <f>D74*'Pricing Component 1'!$B$22</f>
        <v>157672.81407711035</v>
      </c>
      <c r="N75" s="1">
        <f t="shared" si="10"/>
        <v>1057.9398918445513</v>
      </c>
      <c r="O75" s="1">
        <f>N75*'Pricing Component 1'!$B$75</f>
        <v>317.38196755336537</v>
      </c>
      <c r="P75" s="4">
        <f t="shared" si="20"/>
        <v>5652.2799618264908</v>
      </c>
      <c r="Q75" s="4">
        <f t="shared" si="11"/>
        <v>24.32114164682659</v>
      </c>
    </row>
    <row r="76" spans="1:17" x14ac:dyDescent="0.25">
      <c r="A76">
        <f>IF(nfi*12&gt;ROW()-14,'Life Accounting'!A75+1,0)</f>
        <v>68</v>
      </c>
      <c r="B76" s="22">
        <f t="shared" si="16"/>
        <v>2100</v>
      </c>
      <c r="D76" s="4">
        <f t="shared" si="15"/>
        <v>158993.31819704315</v>
      </c>
      <c r="E76" s="4">
        <f t="shared" si="18"/>
        <v>1193.7030969807392</v>
      </c>
      <c r="F76" s="4">
        <f t="shared" si="19"/>
        <v>288.79877656972172</v>
      </c>
      <c r="G76" s="4">
        <f t="shared" si="21"/>
        <v>6987.29560964134</v>
      </c>
      <c r="H76" s="4">
        <f t="shared" si="14"/>
        <v>29.643709190932753</v>
      </c>
      <c r="I76" s="4">
        <f t="shared" si="17"/>
        <v>1</v>
      </c>
      <c r="L76" s="1">
        <f t="shared" ref="L76:L92" si="22">B76-B75</f>
        <v>30</v>
      </c>
      <c r="M76" s="1">
        <f>D75*'Pricing Component 1'!$B$22</f>
        <v>158865.55796532685</v>
      </c>
      <c r="N76" s="1">
        <f t="shared" ref="N76:N92" si="23">M76-D75</f>
        <v>1065.9428652644565</v>
      </c>
      <c r="O76" s="1">
        <f>N76*'Pricing Component 1'!$B$75</f>
        <v>319.78285957933696</v>
      </c>
      <c r="P76" s="4">
        <f t="shared" si="20"/>
        <v>5332.4971022471536</v>
      </c>
      <c r="Q76" s="4">
        <f t="shared" si="11"/>
        <v>23.028088224316313</v>
      </c>
    </row>
    <row r="77" spans="1:17" x14ac:dyDescent="0.25">
      <c r="A77">
        <f>IF(nfi*12&gt;ROW()-14,'Life Accounting'!A76+1,0)</f>
        <v>69</v>
      </c>
      <c r="B77" s="22">
        <f t="shared" si="16"/>
        <v>2131</v>
      </c>
      <c r="D77" s="4">
        <f t="shared" si="15"/>
        <v>160196.05127222021</v>
      </c>
      <c r="E77" s="4">
        <f t="shared" si="18"/>
        <v>1202.7330751770603</v>
      </c>
      <c r="F77" s="4">
        <f t="shared" si="19"/>
        <v>290.98344599224805</v>
      </c>
      <c r="G77" s="4">
        <f t="shared" si="21"/>
        <v>6696.3121636490923</v>
      </c>
      <c r="H77" s="4">
        <f t="shared" si="14"/>
        <v>28.467107226621504</v>
      </c>
      <c r="I77" s="4">
        <f t="shared" si="17"/>
        <v>1</v>
      </c>
      <c r="L77" s="1">
        <f t="shared" si="22"/>
        <v>31</v>
      </c>
      <c r="M77" s="1">
        <f>D76*'Pricing Component 1'!$B$22</f>
        <v>160067.32457563534</v>
      </c>
      <c r="N77" s="1">
        <f t="shared" si="23"/>
        <v>1074.0063785921957</v>
      </c>
      <c r="O77" s="1">
        <f>N77*'Pricing Component 1'!$B$75</f>
        <v>322.20191357765867</v>
      </c>
      <c r="P77" s="4">
        <f t="shared" si="20"/>
        <v>5010.2951886694946</v>
      </c>
      <c r="Q77" s="4">
        <f t="shared" si="11"/>
        <v>21.725253270501053</v>
      </c>
    </row>
    <row r="78" spans="1:17" x14ac:dyDescent="0.25">
      <c r="A78">
        <f>IF(nfi*12&gt;ROW()-14,'Life Accounting'!A77+1,0)</f>
        <v>70</v>
      </c>
      <c r="B78" s="22">
        <f t="shared" si="16"/>
        <v>2161</v>
      </c>
      <c r="D78" s="4">
        <f t="shared" si="15"/>
        <v>161407.88263446069</v>
      </c>
      <c r="E78" s="4">
        <f t="shared" si="18"/>
        <v>1211.831362240496</v>
      </c>
      <c r="F78" s="4">
        <f t="shared" si="19"/>
        <v>293.18464173300328</v>
      </c>
      <c r="G78" s="4">
        <f t="shared" si="21"/>
        <v>6403.1275219160889</v>
      </c>
      <c r="H78" s="4">
        <f t="shared" si="14"/>
        <v>27.281604648656533</v>
      </c>
      <c r="I78" s="4">
        <f t="shared" si="17"/>
        <v>1</v>
      </c>
      <c r="L78" s="1">
        <f t="shared" si="22"/>
        <v>30</v>
      </c>
      <c r="M78" s="1">
        <f>D77*'Pricing Component 1'!$B$22</f>
        <v>161278.18216201282</v>
      </c>
      <c r="N78" s="1">
        <f t="shared" si="23"/>
        <v>1082.1308897926065</v>
      </c>
      <c r="O78" s="1">
        <f>N78*'Pricing Component 1'!$B$75</f>
        <v>324.63926693778194</v>
      </c>
      <c r="P78" s="4">
        <f t="shared" si="20"/>
        <v>4685.6559217317126</v>
      </c>
      <c r="Q78" s="4">
        <f t="shared" si="11"/>
        <v>20.412562791257301</v>
      </c>
    </row>
    <row r="79" spans="1:17" x14ac:dyDescent="0.25">
      <c r="A79">
        <f>IF(nfi*12&gt;ROW()-14,'Life Accounting'!A78+1,0)</f>
        <v>71</v>
      </c>
      <c r="B79" s="22">
        <f t="shared" si="16"/>
        <v>2192</v>
      </c>
      <c r="D79" s="4">
        <f t="shared" si="15"/>
        <v>162628.88110936625</v>
      </c>
      <c r="E79" s="4">
        <f t="shared" si="18"/>
        <v>1220.9984749055527</v>
      </c>
      <c r="F79" s="4">
        <f t="shared" si="19"/>
        <v>295.40248880824458</v>
      </c>
      <c r="G79" s="4">
        <f t="shared" si="21"/>
        <v>6107.725033107844</v>
      </c>
      <c r="H79" s="4">
        <f t="shared" si="14"/>
        <v>26.08713412677168</v>
      </c>
      <c r="I79" s="4">
        <f t="shared" si="17"/>
        <v>1</v>
      </c>
      <c r="L79" s="1">
        <f t="shared" si="22"/>
        <v>31</v>
      </c>
      <c r="M79" s="1">
        <f>D78*'Pricing Component 1'!$B$22</f>
        <v>162498.19949475559</v>
      </c>
      <c r="N79" s="1">
        <f t="shared" si="23"/>
        <v>1090.3168602949008</v>
      </c>
      <c r="O79" s="1">
        <f>N79*'Pricing Component 1'!$B$75</f>
        <v>327.09505808847024</v>
      </c>
      <c r="P79" s="4">
        <f t="shared" si="20"/>
        <v>4358.5608636432426</v>
      </c>
      <c r="Q79" s="4">
        <f t="shared" si="11"/>
        <v>19.089942232719917</v>
      </c>
    </row>
    <row r="80" spans="1:17" x14ac:dyDescent="0.25">
      <c r="A80">
        <f>IF(nfi*12&gt;ROW()-14,'Life Accounting'!A79+1,0)</f>
        <v>72</v>
      </c>
      <c r="B80" s="22">
        <f t="shared" si="16"/>
        <v>2223</v>
      </c>
      <c r="D80" s="4">
        <f t="shared" si="15"/>
        <v>163859.11604318192</v>
      </c>
      <c r="E80" s="4">
        <f t="shared" si="18"/>
        <v>1230.2349338156666</v>
      </c>
      <c r="F80" s="4">
        <f t="shared" si="19"/>
        <v>297.63711317993659</v>
      </c>
      <c r="G80" s="4">
        <f t="shared" si="21"/>
        <v>5810.087919927907</v>
      </c>
      <c r="H80" s="4">
        <f t="shared" si="14"/>
        <v>24.883627821369096</v>
      </c>
      <c r="I80" s="4">
        <f t="shared" si="17"/>
        <v>1</v>
      </c>
      <c r="L80" s="1">
        <f t="shared" si="22"/>
        <v>31</v>
      </c>
      <c r="M80" s="1">
        <f>D79*'Pricing Component 1'!$B$22</f>
        <v>163727.44586438511</v>
      </c>
      <c r="N80" s="1">
        <f t="shared" si="23"/>
        <v>1098.5647550188587</v>
      </c>
      <c r="O80" s="1">
        <f>N80*'Pricing Component 1'!$B$75</f>
        <v>329.56942650565759</v>
      </c>
      <c r="P80" s="4">
        <f t="shared" si="20"/>
        <v>4028.9914371375849</v>
      </c>
      <c r="Q80" s="4">
        <f t="shared" si="11"/>
        <v>17.757316477047844</v>
      </c>
    </row>
    <row r="81" spans="1:19" x14ac:dyDescent="0.25">
      <c r="A81">
        <f>IF(nfi*12&gt;ROW()-14,'Life Accounting'!A80+1,0)</f>
        <v>73</v>
      </c>
      <c r="B81" s="22">
        <f t="shared" si="16"/>
        <v>2251</v>
      </c>
      <c r="D81" s="4">
        <f t="shared" si="15"/>
        <v>165098.65730673468</v>
      </c>
      <c r="E81" s="4">
        <f t="shared" si="18"/>
        <v>1239.541263552773</v>
      </c>
      <c r="F81" s="4">
        <f t="shared" si="19"/>
        <v>299.88864176290559</v>
      </c>
      <c r="G81" s="4">
        <f t="shared" si="21"/>
        <v>5510.1992781650015</v>
      </c>
      <c r="H81" s="4">
        <f t="shared" si="14"/>
        <v>23.671017379666278</v>
      </c>
      <c r="I81" s="4">
        <f t="shared" si="17"/>
        <v>1</v>
      </c>
      <c r="L81" s="1">
        <f t="shared" si="22"/>
        <v>28</v>
      </c>
      <c r="M81" s="1">
        <f>D80*'Pricing Component 1'!$B$22</f>
        <v>164965.99108558308</v>
      </c>
      <c r="N81" s="1">
        <f t="shared" si="23"/>
        <v>1106.8750424011669</v>
      </c>
      <c r="O81" s="1">
        <f>N81*'Pricing Component 1'!$B$75</f>
        <v>332.06251272035007</v>
      </c>
      <c r="P81" s="4">
        <f t="shared" si="20"/>
        <v>3696.9289244172346</v>
      </c>
      <c r="Q81" s="4">
        <f t="shared" si="11"/>
        <v>16.414609838157794</v>
      </c>
    </row>
    <row r="82" spans="1:19" x14ac:dyDescent="0.25">
      <c r="A82">
        <f>IF(nfi*12&gt;ROW()-14,'Life Accounting'!A81+1,0)</f>
        <v>74</v>
      </c>
      <c r="B82" s="22">
        <f t="shared" si="16"/>
        <v>2282</v>
      </c>
      <c r="D82" s="4">
        <f t="shared" si="15"/>
        <v>166347.57529940177</v>
      </c>
      <c r="E82" s="4">
        <f t="shared" si="18"/>
        <v>1248.9179926671</v>
      </c>
      <c r="F82" s="4">
        <f t="shared" si="19"/>
        <v>302.15720243204743</v>
      </c>
      <c r="G82" s="4">
        <f t="shared" si="21"/>
        <v>5208.0420757329539</v>
      </c>
      <c r="H82" s="4">
        <f t="shared" si="14"/>
        <v>22.449233931814021</v>
      </c>
      <c r="I82" s="4">
        <f t="shared" si="17"/>
        <v>1</v>
      </c>
      <c r="L82" s="1">
        <f t="shared" si="22"/>
        <v>31</v>
      </c>
      <c r="M82" s="1">
        <f>D81*'Pricing Component 1'!$B$22</f>
        <v>166213.90550115681</v>
      </c>
      <c r="N82" s="1">
        <f t="shared" si="23"/>
        <v>1115.2481944221363</v>
      </c>
      <c r="O82" s="1">
        <f>N82*'Pricing Component 1'!$B$75</f>
        <v>334.57445832664087</v>
      </c>
      <c r="P82" s="4">
        <f t="shared" si="20"/>
        <v>3362.3544660905936</v>
      </c>
      <c r="Q82" s="4">
        <f t="shared" si="11"/>
        <v>15.061746057425781</v>
      </c>
    </row>
    <row r="83" spans="1:19" x14ac:dyDescent="0.25">
      <c r="A83">
        <f>IF(nfi*12&gt;ROW()-14,'Life Accounting'!A82+1,0)</f>
        <v>75</v>
      </c>
      <c r="B83" s="22">
        <f t="shared" si="16"/>
        <v>2312</v>
      </c>
      <c r="D83" s="4">
        <f t="shared" si="15"/>
        <v>167605.94095310895</v>
      </c>
      <c r="E83" s="4">
        <f t="shared" si="18"/>
        <v>1258.3656537071874</v>
      </c>
      <c r="F83" s="4">
        <f t="shared" si="19"/>
        <v>304.4429240295903</v>
      </c>
      <c r="G83" s="4">
        <f t="shared" si="21"/>
        <v>4903.5991517033635</v>
      </c>
      <c r="H83" s="4">
        <f t="shared" si="14"/>
        <v>21.218208086984966</v>
      </c>
      <c r="I83" s="4">
        <f t="shared" si="17"/>
        <v>1</v>
      </c>
      <c r="L83" s="1">
        <f t="shared" si="22"/>
        <v>30</v>
      </c>
      <c r="M83" s="1">
        <f>D82*'Pricing Component 1'!$B$22</f>
        <v>167471.25998603425</v>
      </c>
      <c r="N83" s="1">
        <f t="shared" si="23"/>
        <v>1123.6846866324777</v>
      </c>
      <c r="O83" s="1">
        <f>N83*'Pricing Component 1'!$B$75</f>
        <v>337.1054059897433</v>
      </c>
      <c r="P83" s="4">
        <f t="shared" si="20"/>
        <v>3025.2490601008503</v>
      </c>
      <c r="Q83" s="4">
        <f t="shared" si="11"/>
        <v>13.698648299355948</v>
      </c>
    </row>
    <row r="84" spans="1:19" x14ac:dyDescent="0.25">
      <c r="A84">
        <f>IF(nfi*12&gt;ROW()-14,'Life Accounting'!A83+1,0)</f>
        <v>76</v>
      </c>
      <c r="B84" s="22">
        <f t="shared" si="16"/>
        <v>2343</v>
      </c>
      <c r="D84" s="4">
        <f t="shared" si="15"/>
        <v>168873.82573635908</v>
      </c>
      <c r="E84" s="4">
        <f t="shared" si="18"/>
        <v>1267.8847832501333</v>
      </c>
      <c r="F84" s="4">
        <f t="shared" si="19"/>
        <v>306.74593637241225</v>
      </c>
      <c r="G84" s="4">
        <f t="shared" si="21"/>
        <v>4596.8532153309516</v>
      </c>
      <c r="H84" s="4">
        <f t="shared" si="14"/>
        <v>19.977869929432565</v>
      </c>
      <c r="I84" s="4">
        <f t="shared" si="17"/>
        <v>1</v>
      </c>
      <c r="L84" s="1">
        <f t="shared" si="22"/>
        <v>31</v>
      </c>
      <c r="M84" s="1">
        <f>D83*'Pricing Component 1'!$B$22</f>
        <v>168738.12595128914</v>
      </c>
      <c r="N84" s="1">
        <f t="shared" si="23"/>
        <v>1132.1849981801934</v>
      </c>
      <c r="O84" s="1">
        <f>N84*'Pricing Component 1'!$B$75</f>
        <v>339.65549945405797</v>
      </c>
      <c r="P84" s="4">
        <f t="shared" si="20"/>
        <v>2685.5935606467924</v>
      </c>
      <c r="Q84" s="4">
        <f t="shared" si="11"/>
        <v>12.325239147216701</v>
      </c>
    </row>
    <row r="85" spans="1:19" x14ac:dyDescent="0.25">
      <c r="A85">
        <f>IF(nfi*12&gt;ROW()-14,'Life Accounting'!A84+1,0)</f>
        <v>77</v>
      </c>
      <c r="B85" s="22">
        <f t="shared" si="16"/>
        <v>2373</v>
      </c>
      <c r="D85" s="4">
        <f t="shared" si="15"/>
        <v>170151.30165829114</v>
      </c>
      <c r="E85" s="4">
        <f t="shared" si="18"/>
        <v>1277.4759219320667</v>
      </c>
      <c r="F85" s="4">
        <f t="shared" si="19"/>
        <v>309.06637025941393</v>
      </c>
      <c r="G85" s="4">
        <f t="shared" si="21"/>
        <v>4287.7868450715378</v>
      </c>
      <c r="H85" s="4">
        <f t="shared" si="14"/>
        <v>18.728149014520234</v>
      </c>
      <c r="I85" s="4">
        <f t="shared" si="17"/>
        <v>1</v>
      </c>
      <c r="L85" s="1">
        <f t="shared" si="22"/>
        <v>30</v>
      </c>
      <c r="M85" s="1">
        <f>D84*'Pricing Component 1'!$B$22</f>
        <v>170014.5753481971</v>
      </c>
      <c r="N85" s="1">
        <f t="shared" si="23"/>
        <v>1140.7496118380222</v>
      </c>
      <c r="O85" s="1">
        <f>N85*'Pricing Component 1'!$B$75</f>
        <v>342.22488355140666</v>
      </c>
      <c r="P85" s="4">
        <f t="shared" si="20"/>
        <v>2343.3686770953859</v>
      </c>
      <c r="Q85" s="4">
        <f t="shared" si="11"/>
        <v>10.941440598643963</v>
      </c>
    </row>
    <row r="86" spans="1:19" x14ac:dyDescent="0.25">
      <c r="A86">
        <f>IF(nfi*12&gt;ROW()-14,'Life Accounting'!A85+1,0)</f>
        <v>78</v>
      </c>
      <c r="B86" s="22">
        <f t="shared" si="16"/>
        <v>2404</v>
      </c>
      <c r="D86" s="4">
        <f t="shared" si="15"/>
        <v>171438.44127277</v>
      </c>
      <c r="E86" s="4">
        <f t="shared" si="18"/>
        <v>1287.1396144788555</v>
      </c>
      <c r="F86" s="4">
        <f t="shared" si="19"/>
        <v>311.40435747894742</v>
      </c>
      <c r="G86" s="4">
        <f t="shared" si="21"/>
        <v>3976.3824875925902</v>
      </c>
      <c r="H86" s="4">
        <f t="shared" si="14"/>
        <v>17.468974364720491</v>
      </c>
      <c r="I86" s="4">
        <f t="shared" si="17"/>
        <v>1</v>
      </c>
      <c r="L86" s="1">
        <f t="shared" si="22"/>
        <v>31</v>
      </c>
      <c r="M86" s="1">
        <f>D85*'Pricing Component 1'!$B$22</f>
        <v>171300.68067232173</v>
      </c>
      <c r="N86" s="1">
        <f t="shared" si="23"/>
        <v>1149.3790140305937</v>
      </c>
      <c r="O86" s="1">
        <f>N86*'Pricing Component 1'!$B$75</f>
        <v>344.81370420917807</v>
      </c>
      <c r="P86" s="4">
        <f t="shared" si="20"/>
        <v>1998.5549728862079</v>
      </c>
      <c r="Q86" s="4">
        <f t="shared" si="11"/>
        <v>9.5471740612108906</v>
      </c>
    </row>
    <row r="87" spans="1:19" x14ac:dyDescent="0.25">
      <c r="A87">
        <f>IF(nfi*12&gt;ROW()-14,'Life Accounting'!A86+1,0)</f>
        <v>79</v>
      </c>
      <c r="B87" s="22">
        <f t="shared" si="16"/>
        <v>2435</v>
      </c>
      <c r="D87" s="4">
        <f t="shared" si="15"/>
        <v>172735.31768250704</v>
      </c>
      <c r="E87" s="4">
        <f t="shared" si="18"/>
        <v>1296.8764097370424</v>
      </c>
      <c r="F87" s="4">
        <f t="shared" si="19"/>
        <v>313.76003081630125</v>
      </c>
      <c r="G87" s="4">
        <f t="shared" si="21"/>
        <v>3662.6224567762888</v>
      </c>
      <c r="H87" s="4">
        <f t="shared" si="14"/>
        <v>16.200274465583774</v>
      </c>
      <c r="I87" s="4">
        <f t="shared" si="17"/>
        <v>1</v>
      </c>
      <c r="L87" s="1">
        <f t="shared" si="22"/>
        <v>31</v>
      </c>
      <c r="M87" s="1">
        <f>D86*'Pricing Component 1'!$B$22</f>
        <v>172596.51496763222</v>
      </c>
      <c r="N87" s="1">
        <f t="shared" si="23"/>
        <v>1158.0736948622216</v>
      </c>
      <c r="O87" s="1">
        <f>N87*'Pricing Component 1'!$B$75</f>
        <v>347.42210845866646</v>
      </c>
      <c r="P87" s="4">
        <f t="shared" si="20"/>
        <v>1651.1328644275413</v>
      </c>
      <c r="Q87" s="4">
        <f t="shared" si="11"/>
        <v>8.1423603479643898</v>
      </c>
    </row>
    <row r="88" spans="1:19" x14ac:dyDescent="0.25">
      <c r="A88">
        <f>IF(nfi*12&gt;ROW()-14,'Life Accounting'!A87+1,0)</f>
        <v>80</v>
      </c>
      <c r="B88" s="22">
        <f t="shared" si="16"/>
        <v>2465</v>
      </c>
      <c r="D88" s="4">
        <f t="shared" si="15"/>
        <v>174042.00454321207</v>
      </c>
      <c r="E88" s="4">
        <f t="shared" si="18"/>
        <v>1306.6868607050167</v>
      </c>
      <c r="F88" s="4">
        <f t="shared" si="19"/>
        <v>316.13352406124164</v>
      </c>
      <c r="G88" s="4">
        <f t="shared" si="21"/>
        <v>3346.4889327150472</v>
      </c>
      <c r="H88" s="4">
        <f t="shared" si="14"/>
        <v>14.921977261676842</v>
      </c>
      <c r="I88" s="4">
        <f t="shared" si="17"/>
        <v>1</v>
      </c>
      <c r="L88" s="1">
        <f t="shared" si="22"/>
        <v>30</v>
      </c>
      <c r="M88" s="1">
        <f>D87*'Pricing Component 1'!$B$22</f>
        <v>173902.15183065183</v>
      </c>
      <c r="N88" s="1">
        <f t="shared" si="23"/>
        <v>1166.834148144786</v>
      </c>
      <c r="O88" s="1">
        <f>N88*'Pricing Component 1'!$B$75</f>
        <v>350.05024444343582</v>
      </c>
      <c r="P88" s="4">
        <f t="shared" si="20"/>
        <v>1301.0826199841056</v>
      </c>
      <c r="Q88" s="4">
        <f t="shared" si="11"/>
        <v>6.7269196729276786</v>
      </c>
    </row>
    <row r="89" spans="1:19" x14ac:dyDescent="0.25">
      <c r="A89">
        <f>IF(nfi*12&gt;ROW()-14,'Life Accounting'!A88+1,0)</f>
        <v>81</v>
      </c>
      <c r="B89" s="22">
        <f t="shared" si="16"/>
        <v>2496</v>
      </c>
      <c r="D89" s="4">
        <f t="shared" si="15"/>
        <v>175358.57606777648</v>
      </c>
      <c r="E89" s="4">
        <f t="shared" si="18"/>
        <v>1316.5715245644219</v>
      </c>
      <c r="F89" s="4">
        <f t="shared" si="19"/>
        <v>318.52497201561118</v>
      </c>
      <c r="G89" s="4">
        <f t="shared" si="21"/>
        <v>3027.963960699436</v>
      </c>
      <c r="H89" s="4">
        <f t="shared" si="14"/>
        <v>13.634010152490369</v>
      </c>
      <c r="I89" s="4">
        <f t="shared" si="17"/>
        <v>1</v>
      </c>
      <c r="L89" s="1">
        <f t="shared" si="22"/>
        <v>31</v>
      </c>
      <c r="M89" s="1">
        <f>D88*'Pricing Component 1'!$B$22</f>
        <v>175217.66541463765</v>
      </c>
      <c r="N89" s="1">
        <f t="shared" si="23"/>
        <v>1175.6608714255854</v>
      </c>
      <c r="O89" s="1">
        <f>N89*'Pricing Component 1'!$B$75</f>
        <v>352.69826142767562</v>
      </c>
      <c r="P89" s="4">
        <f t="shared" si="20"/>
        <v>948.38435855643002</v>
      </c>
      <c r="Q89" s="4">
        <f>P88*((1+rfr)^(1/12)-1)</f>
        <v>5.3007716465687569</v>
      </c>
    </row>
    <row r="90" spans="1:19" x14ac:dyDescent="0.25">
      <c r="A90">
        <f>IF(nfi*12&gt;ROW()-14,'Life Accounting'!A89+1,0)</f>
        <v>82</v>
      </c>
      <c r="B90" s="22">
        <f t="shared" si="16"/>
        <v>2526</v>
      </c>
      <c r="D90" s="4">
        <f t="shared" si="15"/>
        <v>176685.10703048829</v>
      </c>
      <c r="E90" s="4">
        <f t="shared" si="18"/>
        <v>1326.5309627118004</v>
      </c>
      <c r="F90" s="4">
        <f t="shared" si="19"/>
        <v>320.9345105009848</v>
      </c>
      <c r="G90" s="4">
        <f t="shared" si="21"/>
        <v>2707.0294501984513</v>
      </c>
      <c r="H90" s="4">
        <f t="shared" si="14"/>
        <v>12.336299988315641</v>
      </c>
      <c r="I90" s="4">
        <f t="shared" si="17"/>
        <v>1</v>
      </c>
      <c r="L90" s="1">
        <f t="shared" si="22"/>
        <v>30</v>
      </c>
      <c r="M90" s="1">
        <f>D89*'Pricing Component 1'!$B$22</f>
        <v>176543.13043379219</v>
      </c>
      <c r="N90" s="1">
        <f t="shared" si="23"/>
        <v>1184.5543660157127</v>
      </c>
      <c r="O90" s="1">
        <f>N90*'Pricing Component 1'!$B$75</f>
        <v>355.36630980471381</v>
      </c>
      <c r="P90" s="4">
        <f t="shared" si="20"/>
        <v>593.01804875171615</v>
      </c>
      <c r="Q90" s="4">
        <f>P89*((1+rfr)^(1/12)-1)</f>
        <v>3.8638352712348394</v>
      </c>
    </row>
    <row r="91" spans="1:19" x14ac:dyDescent="0.25">
      <c r="A91">
        <f>IF(nfi*12&gt;ROW()-14,'Life Accounting'!A90+1,0)</f>
        <v>83</v>
      </c>
      <c r="B91" s="22">
        <f t="shared" si="16"/>
        <v>2557</v>
      </c>
      <c r="D91" s="4">
        <f t="shared" si="15"/>
        <v>178021.67277127877</v>
      </c>
      <c r="E91" s="4">
        <f t="shared" si="18"/>
        <v>1336.5657407904782</v>
      </c>
      <c r="F91" s="4">
        <f t="shared" si="19"/>
        <v>323.3622763663837</v>
      </c>
      <c r="G91" s="4">
        <f t="shared" si="21"/>
        <v>2383.6671738320674</v>
      </c>
      <c r="H91" s="4">
        <f t="shared" si="14"/>
        <v>11.028773066090036</v>
      </c>
      <c r="I91" s="4">
        <f t="shared" si="17"/>
        <v>1</v>
      </c>
      <c r="L91" s="1">
        <f t="shared" si="22"/>
        <v>31</v>
      </c>
      <c r="M91" s="1">
        <f>D90*'Pricing Component 1'!$B$22</f>
        <v>177878.6221675069</v>
      </c>
      <c r="N91" s="1">
        <f t="shared" si="23"/>
        <v>1193.5151370186068</v>
      </c>
      <c r="O91" s="1">
        <f>N91*'Pricing Component 1'!$B$75</f>
        <v>358.05454110558202</v>
      </c>
      <c r="P91" s="4">
        <f t="shared" si="20"/>
        <v>234.96350764613413</v>
      </c>
      <c r="Q91" s="4">
        <f>P90*((1+rfr)^(1/12)-1)</f>
        <v>2.4160289365521055</v>
      </c>
    </row>
    <row r="92" spans="1:19" x14ac:dyDescent="0.25">
      <c r="A92">
        <f>IF(nfi*12&gt;ROW()-14,'Life Accounting'!A91+1,0)</f>
        <v>84</v>
      </c>
      <c r="B92" s="22">
        <f t="shared" si="16"/>
        <v>2588</v>
      </c>
      <c r="D92" s="4">
        <f t="shared" si="15"/>
        <v>179368.34920000145</v>
      </c>
      <c r="E92" s="4">
        <f t="shared" si="18"/>
        <v>1346.6764287226906</v>
      </c>
      <c r="F92" s="4">
        <f t="shared" si="19"/>
        <v>325.80840749604795</v>
      </c>
      <c r="G92" s="4">
        <f t="shared" si="21"/>
        <v>2057.8587663360195</v>
      </c>
      <c r="H92" s="4">
        <f t="shared" si="14"/>
        <v>9.7113551252110799</v>
      </c>
      <c r="I92" s="4">
        <f t="shared" si="17"/>
        <v>1</v>
      </c>
      <c r="L92" s="1">
        <f t="shared" si="22"/>
        <v>31</v>
      </c>
      <c r="M92" s="1">
        <f>D91*'Pricing Component 1'!$B$22</f>
        <v>179224.21646463731</v>
      </c>
      <c r="N92" s="1">
        <f t="shared" si="23"/>
        <v>1202.5436933585443</v>
      </c>
      <c r="O92" s="1">
        <f>N92*'Pricing Component 1'!$B$75</f>
        <v>360.76310800756329</v>
      </c>
      <c r="P92" s="4">
        <f t="shared" si="20"/>
        <v>-125.79960036142916</v>
      </c>
      <c r="Q92" s="4">
        <f>P91*((1+rfr)^(1/12)-1)</f>
        <v>0.95727041479055686</v>
      </c>
    </row>
    <row r="93" spans="1:19" x14ac:dyDescent="0.25">
      <c r="E93" s="4">
        <f>SUM(E9:E92)</f>
        <v>84128.34920000151</v>
      </c>
      <c r="F93" s="4">
        <f>SUM(F9:F92)</f>
        <v>20353.607513663665</v>
      </c>
      <c r="H93" s="4">
        <f>SUM(H9:H92)</f>
        <v>4593.4593096254239</v>
      </c>
      <c r="K93" s="7"/>
      <c r="M93" s="1"/>
      <c r="N93" s="1">
        <f>SUM(N9:N92)</f>
        <v>75124.219601203673</v>
      </c>
      <c r="O93" s="1">
        <f>SUM(O9:O92)</f>
        <v>22537.265880361105</v>
      </c>
      <c r="P93" s="1"/>
      <c r="Q93" s="1">
        <f>SUM(Q9:Q92)</f>
        <v>4263.4113324573345</v>
      </c>
      <c r="S93" s="1">
        <f>O93-Q93</f>
        <v>18273.854547903771</v>
      </c>
    </row>
    <row r="95" spans="1:19" x14ac:dyDescent="0.25">
      <c r="N95" s="1"/>
      <c r="O95" s="3"/>
    </row>
    <row r="97" spans="14:15" x14ac:dyDescent="0.25">
      <c r="N97" s="1"/>
      <c r="O97"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B4EE-0FFD-4966-8924-F135229001CF}">
  <sheetPr codeName="Sheet5"/>
  <dimension ref="B1:H19"/>
  <sheetViews>
    <sheetView workbookViewId="0">
      <selection activeCell="B16" sqref="B16:E16"/>
    </sheetView>
  </sheetViews>
  <sheetFormatPr defaultRowHeight="15" x14ac:dyDescent="0.25"/>
  <cols>
    <col min="2" max="2" width="28.42578125" bestFit="1" customWidth="1"/>
    <col min="3" max="3" width="32" bestFit="1" customWidth="1"/>
    <col min="4" max="4" width="13.5703125" style="3" bestFit="1" customWidth="1"/>
    <col min="5" max="5" width="12.5703125" style="3" customWidth="1"/>
    <col min="6" max="6" width="13.5703125" bestFit="1" customWidth="1"/>
    <col min="7" max="8" width="12.5703125" bestFit="1" customWidth="1"/>
  </cols>
  <sheetData>
    <row r="1" spans="2:7" x14ac:dyDescent="0.25">
      <c r="B1" s="83" t="s">
        <v>120</v>
      </c>
    </row>
    <row r="2" spans="2:7" x14ac:dyDescent="0.25">
      <c r="D2" s="76" t="s">
        <v>104</v>
      </c>
      <c r="E2" s="76"/>
      <c r="F2" s="76" t="s">
        <v>111</v>
      </c>
    </row>
    <row r="4" spans="2:7" x14ac:dyDescent="0.25">
      <c r="B4" t="s">
        <v>105</v>
      </c>
      <c r="D4" s="3">
        <f>'Pricing Component 1'!C3</f>
        <v>100000</v>
      </c>
      <c r="F4" s="1">
        <f>SUM(D4:E4)</f>
        <v>100000</v>
      </c>
    </row>
    <row r="6" spans="2:7" x14ac:dyDescent="0.25">
      <c r="B6" t="s">
        <v>106</v>
      </c>
    </row>
    <row r="8" spans="2:7" x14ac:dyDescent="0.25">
      <c r="B8" t="s">
        <v>107</v>
      </c>
      <c r="D8" s="3">
        <f>'Pricing Component 1'!C5</f>
        <v>1750.0000000000002</v>
      </c>
      <c r="F8" s="1">
        <f>SUM(D8:E8)</f>
        <v>1750.0000000000002</v>
      </c>
    </row>
    <row r="9" spans="2:7" x14ac:dyDescent="0.25">
      <c r="B9" t="s">
        <v>108</v>
      </c>
      <c r="D9" s="3">
        <f>'Pricing Component 1'!C36</f>
        <v>1400</v>
      </c>
      <c r="F9" s="1">
        <f>SUM(D9:E9)</f>
        <v>1400</v>
      </c>
    </row>
    <row r="10" spans="2:7" x14ac:dyDescent="0.25">
      <c r="B10" t="s">
        <v>109</v>
      </c>
      <c r="D10" s="3">
        <f>'Pricing Component 1'!C37</f>
        <v>1610</v>
      </c>
      <c r="F10" s="1">
        <f>SUM(D10:E10)</f>
        <v>1610</v>
      </c>
    </row>
    <row r="11" spans="2:7" x14ac:dyDescent="0.25">
      <c r="B11" t="s">
        <v>110</v>
      </c>
      <c r="D11" s="81">
        <f>'Pricing Component 1'!C55</f>
        <v>18073.740612073132</v>
      </c>
      <c r="E11" s="81"/>
      <c r="F11" s="81">
        <f>SUM(D11:E11)</f>
        <v>18073.740612073132</v>
      </c>
    </row>
    <row r="12" spans="2:7" x14ac:dyDescent="0.25">
      <c r="B12" t="s">
        <v>113</v>
      </c>
      <c r="D12" s="81">
        <f>D4-D8-D9-D10-D11</f>
        <v>77166.259387926868</v>
      </c>
      <c r="E12" s="81"/>
      <c r="F12" s="81"/>
    </row>
    <row r="13" spans="2:7" x14ac:dyDescent="0.25">
      <c r="B13" t="s">
        <v>121</v>
      </c>
      <c r="D13" s="81"/>
      <c r="E13" s="81"/>
      <c r="F13" s="81">
        <f>'Pricing Component 1'!R89</f>
        <v>124008.84685524166</v>
      </c>
      <c r="G13" s="1"/>
    </row>
    <row r="14" spans="2:7" x14ac:dyDescent="0.25">
      <c r="D14" s="81"/>
      <c r="E14" s="81"/>
      <c r="F14" s="81"/>
    </row>
    <row r="17" spans="2:8" x14ac:dyDescent="0.25">
      <c r="B17" s="82" t="s">
        <v>115</v>
      </c>
      <c r="C17" s="82" t="s">
        <v>116</v>
      </c>
      <c r="D17" s="82" t="s">
        <v>117</v>
      </c>
      <c r="E17" s="82" t="s">
        <v>118</v>
      </c>
    </row>
    <row r="18" spans="2:8" x14ac:dyDescent="0.25">
      <c r="B18" s="4">
        <f>D12</f>
        <v>77166.259387926868</v>
      </c>
      <c r="C18" s="4">
        <f>F13</f>
        <v>124008.84685524166</v>
      </c>
      <c r="D18">
        <v>7</v>
      </c>
      <c r="E18">
        <f>(((C18/B18)^(1/D18))-1)*100</f>
        <v>7.0119244756224219</v>
      </c>
      <c r="F18" s="7">
        <f>C18-B18</f>
        <v>46842.587467314792</v>
      </c>
    </row>
    <row r="19" spans="2:8" x14ac:dyDescent="0.25">
      <c r="B19" s="4">
        <v>10000000</v>
      </c>
      <c r="C19" s="4">
        <v>17869728</v>
      </c>
      <c r="D19">
        <v>7</v>
      </c>
      <c r="E19">
        <f>(((C19/B19)^(1/D19))-1)*100</f>
        <v>8.6467773338934286</v>
      </c>
      <c r="F19" s="7">
        <f>C19-B19</f>
        <v>7869728</v>
      </c>
      <c r="G19" s="1">
        <f>F19*0.3</f>
        <v>2360918.4</v>
      </c>
      <c r="H19" s="1">
        <f>F19-G19</f>
        <v>5508809.5999999996</v>
      </c>
    </row>
  </sheetData>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Quote ALFIGP</vt:lpstr>
      <vt:lpstr>Pricing Component 1</vt:lpstr>
      <vt:lpstr>Pricing Component </vt:lpstr>
      <vt:lpstr>Life Accounting</vt:lpstr>
      <vt:lpstr>Cash Flows</vt:lpstr>
      <vt:lpstr>'Pricing Component 1'!ced</vt:lpstr>
      <vt:lpstr>ced</vt:lpstr>
      <vt:lpstr>'Pricing Component 1'!nfi</vt:lpstr>
      <vt:lpstr>nfi</vt:lpstr>
      <vt:lpstr>'Quote ALFIGP'!Print_Area</vt:lpstr>
      <vt:lpstr>'Pricing Component 1'!rfr</vt:lpstr>
      <vt:lpstr>rfr</vt:lpstr>
    </vt:vector>
  </TitlesOfParts>
  <Company>Absa Bank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Solms</dc:creator>
  <cp:lastModifiedBy>Lance Solms</cp:lastModifiedBy>
  <dcterms:created xsi:type="dcterms:W3CDTF">2023-04-18T07:14:49Z</dcterms:created>
  <dcterms:modified xsi:type="dcterms:W3CDTF">2026-05-18T10:56:02Z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8cbad039-ce22-4be9-898b-675133c09061</vt:lpwstr>
  </property>
  <property fmtid="{D5CDD505-2E9C-101B-9397-08002B2CF9AE}" pid="3" name="TitusArchived">
    <vt:lpwstr>TitusArchivedFalse</vt:lpwstr>
  </property>
  <property fmtid="{D5CDD505-2E9C-101B-9397-08002B2CF9AE}" pid="4" name="TitusDestroyByDate">
    <vt:lpwstr>2030-04-16</vt:lpwstr>
  </property>
  <property fmtid="{D5CDD505-2E9C-101B-9397-08002B2CF9AE}" pid="5" name="TitusContentScanMode">
    <vt:lpwstr>TitusContentScanModeManual</vt:lpwstr>
  </property>
  <property fmtid="{D5CDD505-2E9C-101B-9397-08002B2CF9AE}" pid="6" name="TitusClassification">
    <vt:lpwstr>TitusRestricted</vt:lpwstr>
  </property>
  <property fmtid="{D5CDD505-2E9C-101B-9397-08002B2CF9AE}" pid="7" name="TitusRescan">
    <vt:lpwstr>TitusRescanTrue</vt:lpwstr>
  </property>
  <property fmtid="{D5CDD505-2E9C-101B-9397-08002B2CF9AE}" pid="8" name="MSIP_Label_4d7e46fc-7da6-4861-b6af-2416c1fa99ae_Enabled">
    <vt:lpwstr>true</vt:lpwstr>
  </property>
  <property fmtid="{D5CDD505-2E9C-101B-9397-08002B2CF9AE}" pid="9" name="MSIP_Label_4d7e46fc-7da6-4861-b6af-2416c1fa99ae_SetDate">
    <vt:lpwstr>2024-01-15T06:55:09Z</vt:lpwstr>
  </property>
  <property fmtid="{D5CDD505-2E9C-101B-9397-08002B2CF9AE}" pid="10" name="MSIP_Label_4d7e46fc-7da6-4861-b6af-2416c1fa99ae_Method">
    <vt:lpwstr>Standard</vt:lpwstr>
  </property>
  <property fmtid="{D5CDD505-2E9C-101B-9397-08002B2CF9AE}" pid="11" name="MSIP_Label_4d7e46fc-7da6-4861-b6af-2416c1fa99ae_Name">
    <vt:lpwstr>Restricted Internal</vt:lpwstr>
  </property>
  <property fmtid="{D5CDD505-2E9C-101B-9397-08002B2CF9AE}" pid="12" name="MSIP_Label_4d7e46fc-7da6-4861-b6af-2416c1fa99ae_SiteId">
    <vt:lpwstr>5be1f46d-495f-465b-9507-996e8c8cdcb6</vt:lpwstr>
  </property>
  <property fmtid="{D5CDD505-2E9C-101B-9397-08002B2CF9AE}" pid="13" name="MSIP_Label_4d7e46fc-7da6-4861-b6af-2416c1fa99ae_ActionId">
    <vt:lpwstr>26ba62d6-ab63-4f4e-86ca-eb1cd22aed5e</vt:lpwstr>
  </property>
  <property fmtid="{D5CDD505-2E9C-101B-9397-08002B2CF9AE}" pid="14" name="MSIP_Label_4d7e46fc-7da6-4861-b6af-2416c1fa99ae_ContentBits">
    <vt:lpwstr>0</vt:lpwstr>
  </property>
</Properties>
</file>